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2.bin" ContentType="application/vnd.openxmlformats-officedocument.oleObject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LIBROS Y CURSOS\ESTUDIOS DE SUELOS\"/>
    </mc:Choice>
  </mc:AlternateContent>
  <workbookProtection workbookPassword="CC71" lockStructure="1"/>
  <bookViews>
    <workbookView xWindow="0" yWindow="120" windowWidth="7950" windowHeight="4770" tabRatio="758" activeTab="2"/>
  </bookViews>
  <sheets>
    <sheet name="Introducción" sheetId="8964" r:id="rId1"/>
    <sheet name="Clasificación suelos" sheetId="1" r:id="rId2"/>
    <sheet name="Clasificación" sheetId="8961" r:id="rId3"/>
    <sheet name="Clasificación (2)" sheetId="8963" r:id="rId4"/>
    <sheet name="Suelos" sheetId="8392" r:id="rId5"/>
    <sheet name="curriculo" sheetId="8965" r:id="rId6"/>
  </sheets>
  <externalReferences>
    <externalReference r:id="rId7"/>
    <externalReference r:id="rId8"/>
  </externalReferences>
  <definedNames>
    <definedName name="_xlnm.Print_Area" localSheetId="2">Clasificación!$A$1:$M$75</definedName>
    <definedName name="_xlnm.Print_Area" localSheetId="3">'Clasificación (2)'!$A$1:$L$24</definedName>
    <definedName name="_xlnm.Print_Area" localSheetId="1">'Clasificación suelos'!$A$1:$X$52</definedName>
    <definedName name="_xlnm.Print_Area" localSheetId="5">curriculo!$A$2:$B$64</definedName>
    <definedName name="_xlnm.Print_Area" localSheetId="0">Introducción!$A$1:$I$33</definedName>
    <definedName name="_xlnm.Print_Area" localSheetId="4">Suelos!$A$1:$Q$57</definedName>
    <definedName name="_xlnm.Criteria">#REF!</definedName>
    <definedName name="Tiempo__s">#REF!</definedName>
  </definedNames>
  <calcPr calcId="152511"/>
</workbook>
</file>

<file path=xl/calcChain.xml><?xml version="1.0" encoding="utf-8"?>
<calcChain xmlns="http://schemas.openxmlformats.org/spreadsheetml/2006/main">
  <c r="C19" i="8961" l="1"/>
  <c r="C18" i="8961"/>
  <c r="C17" i="8961"/>
  <c r="C16" i="8961"/>
  <c r="C15" i="8961"/>
  <c r="C9" i="8961"/>
  <c r="C10" i="8961"/>
  <c r="C11" i="8961"/>
  <c r="C12" i="8961"/>
  <c r="C13" i="8961"/>
  <c r="C14" i="8961"/>
  <c r="C8" i="8961"/>
  <c r="D4" i="8961"/>
  <c r="E4" i="8961" s="1"/>
  <c r="L4" i="8961"/>
  <c r="D5" i="8961"/>
  <c r="E5" i="8961" s="1"/>
  <c r="L5" i="8961"/>
  <c r="D14" i="8961"/>
  <c r="D15" i="8961"/>
  <c r="E15" i="8961" s="1"/>
  <c r="D16" i="8961"/>
  <c r="D17" i="8961"/>
  <c r="E17" i="8961" s="1"/>
  <c r="D18" i="8961"/>
  <c r="D19" i="8961"/>
  <c r="E19" i="8961" s="1"/>
  <c r="C23" i="8961"/>
  <c r="R19" i="8961"/>
  <c r="E25" i="8961"/>
  <c r="E26" i="8961"/>
  <c r="R26" i="8961"/>
  <c r="R30" i="8961"/>
  <c r="R35" i="8961"/>
  <c r="R36" i="8961"/>
  <c r="R37" i="8961"/>
  <c r="R38" i="8961"/>
  <c r="R39" i="8961"/>
  <c r="R40" i="8961"/>
  <c r="R41" i="8961"/>
  <c r="N46" i="8961"/>
  <c r="N55" i="8961"/>
  <c r="N56" i="8961" s="1"/>
  <c r="B57" i="8961"/>
  <c r="B58" i="8961"/>
  <c r="E58" i="8961"/>
  <c r="B59" i="8961"/>
  <c r="E59" i="8961"/>
  <c r="F64" i="8961"/>
  <c r="D4" i="8963"/>
  <c r="D5" i="8963"/>
  <c r="D6" i="8963"/>
  <c r="D7" i="8963"/>
  <c r="W7" i="8963" s="1"/>
  <c r="D8" i="8963"/>
  <c r="W36" i="8963" s="1"/>
  <c r="D9" i="8963"/>
  <c r="D10" i="8963"/>
  <c r="W9" i="8963"/>
  <c r="D11" i="8963"/>
  <c r="D12" i="8963"/>
  <c r="W11" i="8963"/>
  <c r="D13" i="8963"/>
  <c r="X42" i="8963" s="1"/>
  <c r="D14" i="8963"/>
  <c r="D15" i="8963"/>
  <c r="D16" i="8963"/>
  <c r="D17" i="8963"/>
  <c r="D18" i="8963"/>
  <c r="W17" i="8963" s="1"/>
  <c r="D19" i="8963"/>
  <c r="C23" i="8963"/>
  <c r="Q24" i="8963" s="1"/>
  <c r="Q19" i="8963"/>
  <c r="X23" i="8963"/>
  <c r="M9" i="8963" s="1"/>
  <c r="Q25" i="8963"/>
  <c r="Q26" i="8963"/>
  <c r="Q30" i="8963"/>
  <c r="W32" i="8963"/>
  <c r="W33" i="8963"/>
  <c r="X33" i="8963"/>
  <c r="P34" i="8963"/>
  <c r="M35" i="8963"/>
  <c r="Q35" i="8963"/>
  <c r="W35" i="8963"/>
  <c r="Q36" i="8963"/>
  <c r="X36" i="8963"/>
  <c r="W37" i="8963"/>
  <c r="W38" i="8963"/>
  <c r="Q39" i="8963"/>
  <c r="W39" i="8963"/>
  <c r="Q40" i="8963"/>
  <c r="R40" i="8963"/>
  <c r="S40" i="8963" s="1"/>
  <c r="T40" i="8963" s="1"/>
  <c r="X40" i="8963"/>
  <c r="Q41" i="8963"/>
  <c r="W42" i="8963"/>
  <c r="X44" i="8963"/>
  <c r="W45" i="8963"/>
  <c r="W47" i="8963"/>
  <c r="X47" i="8963"/>
  <c r="R5" i="8392"/>
  <c r="C6" i="8392"/>
  <c r="D6" i="8392"/>
  <c r="E6" i="8392"/>
  <c r="F6" i="8392"/>
  <c r="G6" i="8392"/>
  <c r="R6" i="8392"/>
  <c r="S8" i="8392"/>
  <c r="S9" i="8392"/>
  <c r="S10" i="8392"/>
  <c r="R25" i="8392"/>
  <c r="S25" i="8392"/>
  <c r="C29" i="8392"/>
  <c r="C44" i="8392" s="1"/>
  <c r="D29" i="8392"/>
  <c r="D42" i="8392" s="1"/>
  <c r="E29" i="8392"/>
  <c r="F29" i="8392"/>
  <c r="G29" i="8392"/>
  <c r="G44" i="8392" s="1"/>
  <c r="C32" i="8392"/>
  <c r="D32" i="8392"/>
  <c r="E32" i="8392"/>
  <c r="F32" i="8392"/>
  <c r="G32" i="8392"/>
  <c r="C33" i="8392"/>
  <c r="D33" i="8392"/>
  <c r="E33" i="8392"/>
  <c r="F33" i="8392"/>
  <c r="G33" i="8392"/>
  <c r="C36" i="8392"/>
  <c r="C35" i="8392" s="1"/>
  <c r="D36" i="8392"/>
  <c r="D35" i="8392" s="1"/>
  <c r="E36" i="8392"/>
  <c r="E35" i="8392" s="1"/>
  <c r="F36" i="8392"/>
  <c r="F35" i="8392" s="1"/>
  <c r="G36" i="8392"/>
  <c r="G35" i="8392" s="1"/>
  <c r="C42" i="8392"/>
  <c r="E42" i="8392"/>
  <c r="F42" i="8392"/>
  <c r="G42" i="8392"/>
  <c r="D44" i="8392"/>
  <c r="E44" i="8392"/>
  <c r="F44" i="8392"/>
  <c r="C46" i="8392"/>
  <c r="D46" i="8392"/>
  <c r="E46" i="8392"/>
  <c r="F46" i="8392"/>
  <c r="G46" i="8392"/>
  <c r="C48" i="8392"/>
  <c r="E48" i="8392"/>
  <c r="F48" i="8392"/>
  <c r="G48" i="8392"/>
  <c r="P6" i="8963"/>
  <c r="P7" i="8963"/>
  <c r="P8" i="8963"/>
  <c r="Q13" i="8963"/>
  <c r="Q17" i="8963"/>
  <c r="W18" i="8963"/>
  <c r="X18" i="8963"/>
  <c r="N9" i="8963"/>
  <c r="M21" i="8963"/>
  <c r="Y17" i="8963"/>
  <c r="X17" i="8963"/>
  <c r="Y16" i="8963"/>
  <c r="X15" i="8963"/>
  <c r="Y14" i="8963"/>
  <c r="Y11" i="8963"/>
  <c r="X11" i="8963"/>
  <c r="X9" i="8963"/>
  <c r="Y8" i="8963"/>
  <c r="X7" i="8963"/>
  <c r="Y6" i="8963"/>
  <c r="Y5" i="8963"/>
  <c r="Y4" i="8963"/>
  <c r="N21" i="8961"/>
  <c r="Y18" i="8961"/>
  <c r="X18" i="8961"/>
  <c r="R18" i="8961"/>
  <c r="Y17" i="8961"/>
  <c r="R17" i="8961"/>
  <c r="Z16" i="8961"/>
  <c r="Z15" i="8961"/>
  <c r="Y15" i="8961"/>
  <c r="Z14" i="8961"/>
  <c r="R14" i="8961"/>
  <c r="R13" i="8961"/>
  <c r="R12" i="8961"/>
  <c r="Q7" i="8961"/>
  <c r="Q6" i="8961"/>
  <c r="Y4" i="8961"/>
  <c r="D6" i="8961"/>
  <c r="E6" i="8961" s="1"/>
  <c r="X5" i="8961"/>
  <c r="Y5" i="8961"/>
  <c r="D7" i="8961"/>
  <c r="X7" i="8961" s="1"/>
  <c r="D8" i="8961"/>
  <c r="E8" i="8961"/>
  <c r="D9" i="8961"/>
  <c r="D10" i="8961"/>
  <c r="E10" i="8961" s="1"/>
  <c r="Y8" i="8961"/>
  <c r="Z8" i="8961"/>
  <c r="D11" i="8961"/>
  <c r="E11" i="8961" s="1"/>
  <c r="Z9" i="8961"/>
  <c r="D13" i="8961"/>
  <c r="Z13" i="8961" s="1"/>
  <c r="D12" i="8961"/>
  <c r="X12" i="8961" s="1"/>
  <c r="Y10" i="8961"/>
  <c r="F13" i="8961"/>
  <c r="X13" i="8961"/>
  <c r="F14" i="8961"/>
  <c r="F12" i="8961"/>
  <c r="X9" i="8961" l="1"/>
  <c r="E9" i="8961"/>
  <c r="Y9" i="8961"/>
  <c r="Y6" i="8961"/>
  <c r="Y19" i="8961" s="1"/>
  <c r="Y20" i="8961" s="1"/>
  <c r="E28" i="8961" s="1"/>
  <c r="Z5" i="8961"/>
  <c r="W16" i="8963"/>
  <c r="X45" i="8963"/>
  <c r="X16" i="8963"/>
  <c r="W44" i="8963"/>
  <c r="W10" i="8963"/>
  <c r="X39" i="8963"/>
  <c r="X10" i="8963"/>
  <c r="Y10" i="8963"/>
  <c r="F8" i="8961"/>
  <c r="X6" i="8961"/>
  <c r="X13" i="8963"/>
  <c r="W13" i="8963"/>
  <c r="W41" i="8963"/>
  <c r="Y11" i="8961"/>
  <c r="Y12" i="8961"/>
  <c r="X10" i="8961"/>
  <c r="Z10" i="8961"/>
  <c r="Y12" i="8963"/>
  <c r="X11" i="8961"/>
  <c r="Z12" i="8961"/>
  <c r="F11" i="8961"/>
  <c r="F10" i="8961"/>
  <c r="X8" i="8961"/>
  <c r="F9" i="8961"/>
  <c r="Y9" i="8963"/>
  <c r="Y13" i="8963"/>
  <c r="N21" i="8963"/>
  <c r="O21" i="8963" s="1"/>
  <c r="P21" i="8963" s="1"/>
  <c r="R35" i="8963"/>
  <c r="S35" i="8963" s="1"/>
  <c r="T35" i="8963" s="1"/>
  <c r="R39" i="8963"/>
  <c r="S39" i="8963" s="1"/>
  <c r="T39" i="8963" s="1"/>
  <c r="R41" i="8963"/>
  <c r="S41" i="8963" s="1"/>
  <c r="T41" i="8963" s="1"/>
  <c r="R36" i="8963"/>
  <c r="S36" i="8963" s="1"/>
  <c r="T36" i="8963" s="1"/>
  <c r="O9" i="8963"/>
  <c r="P9" i="8963" s="1"/>
  <c r="W15" i="8963"/>
  <c r="W43" i="8963"/>
  <c r="Y15" i="8963"/>
  <c r="X38" i="8963"/>
  <c r="X5" i="8963"/>
  <c r="W5" i="8963"/>
  <c r="X34" i="8963"/>
  <c r="E7" i="8961"/>
  <c r="Y7" i="8961"/>
  <c r="Y18" i="8963"/>
  <c r="W46" i="8963"/>
  <c r="X46" i="8963"/>
  <c r="W8" i="8963"/>
  <c r="X37" i="8963"/>
  <c r="X8" i="8963"/>
  <c r="Z11" i="8961"/>
  <c r="E12" i="8961"/>
  <c r="E13" i="8961"/>
  <c r="Y13" i="8961"/>
  <c r="Z7" i="8961"/>
  <c r="Z6" i="8961"/>
  <c r="F6" i="8961"/>
  <c r="F7" i="8961"/>
  <c r="W12" i="8963"/>
  <c r="X41" i="8963"/>
  <c r="X12" i="8963"/>
  <c r="N35" i="8961"/>
  <c r="N9" i="8961"/>
  <c r="Z18" i="8961"/>
  <c r="F19" i="8961"/>
  <c r="X16" i="8961"/>
  <c r="Y16" i="8961"/>
  <c r="F17" i="8961"/>
  <c r="Y7" i="8963"/>
  <c r="Y19" i="8963" s="1"/>
  <c r="Y20" i="8963" s="1"/>
  <c r="X26" i="8963" s="1"/>
  <c r="I6" i="8963" s="1"/>
  <c r="Q14" i="8963"/>
  <c r="D48" i="8392"/>
  <c r="W40" i="8963"/>
  <c r="Q38" i="8963"/>
  <c r="R38" i="8963" s="1"/>
  <c r="S38" i="8963" s="1"/>
  <c r="T38" i="8963" s="1"/>
  <c r="Q37" i="8963"/>
  <c r="R37" i="8963" s="1"/>
  <c r="S37" i="8963" s="1"/>
  <c r="T37" i="8963" s="1"/>
  <c r="Q31" i="8963"/>
  <c r="Q29" i="8963"/>
  <c r="P5" i="8963"/>
  <c r="M42" i="8963" s="1"/>
  <c r="F18" i="8963" s="1"/>
  <c r="Q12" i="8963"/>
  <c r="Q18" i="8963"/>
  <c r="W14" i="8963"/>
  <c r="X22" i="8963"/>
  <c r="X43" i="8963"/>
  <c r="X14" i="8963"/>
  <c r="W6" i="8963"/>
  <c r="W34" i="8963"/>
  <c r="X35" i="8963"/>
  <c r="X6" i="8963"/>
  <c r="P48" i="8961"/>
  <c r="Q34" i="8961"/>
  <c r="N63" i="8961"/>
  <c r="I24" i="8961" s="1"/>
  <c r="N47" i="8961"/>
  <c r="N64" i="8961" s="1"/>
  <c r="I25" i="8961" s="1"/>
  <c r="Q5" i="8961"/>
  <c r="R25" i="8961"/>
  <c r="R29" i="8961"/>
  <c r="P57" i="8961"/>
  <c r="Q57" i="8961" s="1"/>
  <c r="P58" i="8961"/>
  <c r="Q58" i="8961" s="1"/>
  <c r="P59" i="8961"/>
  <c r="Q59" i="8961" s="1"/>
  <c r="Q8" i="8961"/>
  <c r="R24" i="8961"/>
  <c r="R31" i="8961"/>
  <c r="X17" i="8961"/>
  <c r="Z17" i="8961"/>
  <c r="F18" i="8961"/>
  <c r="X15" i="8961"/>
  <c r="F16" i="8961"/>
  <c r="W4" i="8963"/>
  <c r="E18" i="8961"/>
  <c r="E16" i="8961"/>
  <c r="X14" i="8961"/>
  <c r="F15" i="8961"/>
  <c r="E14" i="8961"/>
  <c r="F5" i="8961"/>
  <c r="F4" i="8961"/>
  <c r="Z4" i="8961"/>
  <c r="Z19" i="8961" s="1"/>
  <c r="Z20" i="8961" s="1"/>
  <c r="E29" i="8961" s="1"/>
  <c r="Y14" i="8961"/>
  <c r="X4" i="8963"/>
  <c r="X32" i="8963"/>
  <c r="X4" i="8961"/>
  <c r="X19" i="8961" s="1"/>
  <c r="X20" i="8961" s="1"/>
  <c r="E27" i="8961" s="1"/>
  <c r="R29" i="8963" l="1"/>
  <c r="S29" i="8963" s="1"/>
  <c r="T29" i="8963" s="1"/>
  <c r="R24" i="8963"/>
  <c r="S24" i="8963" s="1"/>
  <c r="T24" i="8963" s="1"/>
  <c r="R26" i="8963"/>
  <c r="S26" i="8963" s="1"/>
  <c r="T26" i="8963" s="1"/>
  <c r="R30" i="8963"/>
  <c r="S30" i="8963" s="1"/>
  <c r="T30" i="8963" s="1"/>
  <c r="R25" i="8963"/>
  <c r="S25" i="8963" s="1"/>
  <c r="T25" i="8963" s="1"/>
  <c r="R32" i="8963"/>
  <c r="S32" i="8963" s="1"/>
  <c r="R31" i="8963"/>
  <c r="S31" i="8963" s="1"/>
  <c r="T31" i="8963" s="1"/>
  <c r="U9" i="8963"/>
  <c r="U40" i="8963"/>
  <c r="U37" i="8963"/>
  <c r="U36" i="8963"/>
  <c r="V9" i="8961"/>
  <c r="V36" i="8961"/>
  <c r="N42" i="8961"/>
  <c r="B73" i="8961" s="1"/>
  <c r="S35" i="8961"/>
  <c r="T35" i="8961" s="1"/>
  <c r="U35" i="8961" s="1"/>
  <c r="S36" i="8961"/>
  <c r="T36" i="8961" s="1"/>
  <c r="U36" i="8961" s="1"/>
  <c r="S37" i="8961"/>
  <c r="T37" i="8961" s="1"/>
  <c r="U37" i="8961" s="1"/>
  <c r="S38" i="8961"/>
  <c r="T38" i="8961" s="1"/>
  <c r="U38" i="8961" s="1"/>
  <c r="S39" i="8961"/>
  <c r="T39" i="8961" s="1"/>
  <c r="U39" i="8961" s="1"/>
  <c r="S40" i="8961"/>
  <c r="T40" i="8961" s="1"/>
  <c r="U40" i="8961" s="1"/>
  <c r="S41" i="8961"/>
  <c r="T41" i="8961" s="1"/>
  <c r="U41" i="8961" s="1"/>
  <c r="V35" i="8961"/>
  <c r="R17" i="8963"/>
  <c r="S17" i="8963" s="1"/>
  <c r="T17" i="8963" s="1"/>
  <c r="R18" i="8963"/>
  <c r="S18" i="8963" s="1"/>
  <c r="T18" i="8963" s="1"/>
  <c r="R20" i="8963"/>
  <c r="S20" i="8963" s="1"/>
  <c r="R13" i="8963"/>
  <c r="S13" i="8963" s="1"/>
  <c r="T13" i="8963" s="1"/>
  <c r="R19" i="8963"/>
  <c r="S19" i="8963" s="1"/>
  <c r="T19" i="8963" s="1"/>
  <c r="M43" i="8963"/>
  <c r="R12" i="8963"/>
  <c r="S12" i="8963" s="1"/>
  <c r="T12" i="8963" s="1"/>
  <c r="R14" i="8963"/>
  <c r="S14" i="8963" s="1"/>
  <c r="T14" i="8963" s="1"/>
  <c r="U38" i="8963"/>
  <c r="E30" i="8961"/>
  <c r="E31" i="8961"/>
  <c r="W19" i="8963"/>
  <c r="W20" i="8963" s="1"/>
  <c r="X24" i="8963" s="1"/>
  <c r="Q48" i="8961"/>
  <c r="P49" i="8961"/>
  <c r="Q49" i="8961" s="1"/>
  <c r="X19" i="8963"/>
  <c r="X20" i="8963" s="1"/>
  <c r="X25" i="8963" s="1"/>
  <c r="I5" i="8963" s="1"/>
  <c r="O9" i="8961"/>
  <c r="P9" i="8961" s="1"/>
  <c r="Q9" i="8961" s="1"/>
  <c r="O21" i="8961"/>
  <c r="P21" i="8961" s="1"/>
  <c r="Q21" i="8961" s="1"/>
  <c r="P60" i="8961"/>
  <c r="Q60" i="8961" s="1"/>
  <c r="U39" i="8963"/>
  <c r="U35" i="8963"/>
  <c r="S14" i="8961" l="1"/>
  <c r="T14" i="8961" s="1"/>
  <c r="U14" i="8961" s="1"/>
  <c r="N43" i="8961"/>
  <c r="S12" i="8961"/>
  <c r="T12" i="8961" s="1"/>
  <c r="U12" i="8961" s="1"/>
  <c r="S18" i="8961"/>
  <c r="T18" i="8961" s="1"/>
  <c r="U18" i="8961" s="1"/>
  <c r="S19" i="8961"/>
  <c r="T19" i="8961" s="1"/>
  <c r="U19" i="8961" s="1"/>
  <c r="S13" i="8961"/>
  <c r="T13" i="8961" s="1"/>
  <c r="U13" i="8961" s="1"/>
  <c r="S20" i="8961"/>
  <c r="T20" i="8961" s="1"/>
  <c r="S17" i="8961"/>
  <c r="T17" i="8961" s="1"/>
  <c r="U17" i="8961" s="1"/>
  <c r="V40" i="8961"/>
  <c r="O43" i="8963"/>
  <c r="S25" i="8961"/>
  <c r="T25" i="8961" s="1"/>
  <c r="U25" i="8961" s="1"/>
  <c r="S31" i="8961"/>
  <c r="T31" i="8961" s="1"/>
  <c r="U31" i="8961" s="1"/>
  <c r="S32" i="8961"/>
  <c r="T32" i="8961" s="1"/>
  <c r="S29" i="8961"/>
  <c r="T29" i="8961" s="1"/>
  <c r="U29" i="8961" s="1"/>
  <c r="S24" i="8961"/>
  <c r="T24" i="8961" s="1"/>
  <c r="U24" i="8961" s="1"/>
  <c r="S26" i="8961"/>
  <c r="T26" i="8961" s="1"/>
  <c r="U26" i="8961" s="1"/>
  <c r="S30" i="8961"/>
  <c r="T30" i="8961" s="1"/>
  <c r="U30" i="8961" s="1"/>
  <c r="S23" i="8961"/>
  <c r="T23" i="8961" s="1"/>
  <c r="U23" i="8961" s="1"/>
  <c r="I4" i="8963"/>
  <c r="X28" i="8963"/>
  <c r="I8" i="8963" s="1"/>
  <c r="X27" i="8963"/>
  <c r="V39" i="8961"/>
  <c r="V38" i="8961"/>
  <c r="V37" i="8961"/>
  <c r="P43" i="8961" s="1"/>
  <c r="P61" i="8961"/>
  <c r="Q61" i="8961" s="1"/>
  <c r="P50" i="8961"/>
  <c r="Q50" i="8961" s="1"/>
  <c r="R22" i="8961"/>
  <c r="S22" i="8961" s="1"/>
  <c r="T22" i="8961" s="1"/>
  <c r="U22" i="8961" s="1"/>
  <c r="R23" i="8961"/>
  <c r="R27" i="8961"/>
  <c r="S27" i="8961" s="1"/>
  <c r="T27" i="8961" s="1"/>
  <c r="U27" i="8961" s="1"/>
  <c r="R28" i="8961"/>
  <c r="S28" i="8961" s="1"/>
  <c r="T28" i="8961" s="1"/>
  <c r="U28" i="8961" s="1"/>
  <c r="R16" i="8961"/>
  <c r="S16" i="8961" s="1"/>
  <c r="T16" i="8961" s="1"/>
  <c r="U16" i="8961" s="1"/>
  <c r="R15" i="8961"/>
  <c r="S15" i="8961" s="1"/>
  <c r="T15" i="8961" s="1"/>
  <c r="U15" i="8961" s="1"/>
  <c r="R11" i="8961"/>
  <c r="S11" i="8961" s="1"/>
  <c r="T11" i="8961" s="1"/>
  <c r="U11" i="8961" s="1"/>
  <c r="R10" i="8961"/>
  <c r="S10" i="8961" s="1"/>
  <c r="T10" i="8961" s="1"/>
  <c r="O43" i="8961" l="1"/>
  <c r="U10" i="8961"/>
  <c r="Q43" i="8961" s="1"/>
  <c r="P62" i="8961"/>
  <c r="Q62" i="8961" s="1"/>
  <c r="Q22" i="8963"/>
  <c r="R22" i="8963" s="1"/>
  <c r="S22" i="8963" s="1"/>
  <c r="T22" i="8963" s="1"/>
  <c r="Q23" i="8963"/>
  <c r="R23" i="8963" s="1"/>
  <c r="S23" i="8963" s="1"/>
  <c r="T23" i="8963" s="1"/>
  <c r="Q27" i="8963"/>
  <c r="R27" i="8963" s="1"/>
  <c r="S27" i="8963" s="1"/>
  <c r="T27" i="8963" s="1"/>
  <c r="Q28" i="8963"/>
  <c r="R28" i="8963" s="1"/>
  <c r="S28" i="8963" s="1"/>
  <c r="T28" i="8963" s="1"/>
  <c r="Q10" i="8963"/>
  <c r="R10" i="8963" s="1"/>
  <c r="S10" i="8963" s="1"/>
  <c r="I7" i="8963"/>
  <c r="Q16" i="8963"/>
  <c r="R16" i="8963" s="1"/>
  <c r="S16" i="8963" s="1"/>
  <c r="T16" i="8963" s="1"/>
  <c r="Q15" i="8963"/>
  <c r="R15" i="8963" s="1"/>
  <c r="S15" i="8963" s="1"/>
  <c r="T15" i="8963" s="1"/>
  <c r="Q11" i="8963"/>
  <c r="R11" i="8963" s="1"/>
  <c r="S11" i="8963" s="1"/>
  <c r="T11" i="8963" s="1"/>
  <c r="R43" i="8961"/>
  <c r="B74" i="8961" s="1"/>
  <c r="P51" i="8961"/>
  <c r="Q51" i="8961" s="1"/>
  <c r="T10" i="8963" l="1"/>
  <c r="P43" i="8963" s="1"/>
  <c r="N43" i="8963"/>
  <c r="Q43" i="8963" s="1"/>
  <c r="F19" i="8963" s="1"/>
  <c r="F21" i="8963" s="1"/>
  <c r="P52" i="8961"/>
  <c r="Q52" i="8961" s="1"/>
  <c r="P53" i="8961" l="1"/>
  <c r="P54" i="8961" l="1"/>
  <c r="Q54" i="8961" s="1"/>
  <c r="Q53" i="8961"/>
  <c r="O65" i="8961" l="1"/>
  <c r="L27" i="8961"/>
  <c r="L28" i="8961" s="1"/>
  <c r="N65" i="8961"/>
  <c r="P65" i="8961" s="1"/>
  <c r="I26" i="8961" s="1"/>
</calcChain>
</file>

<file path=xl/comments1.xml><?xml version="1.0" encoding="utf-8"?>
<comments xmlns="http://schemas.openxmlformats.org/spreadsheetml/2006/main">
  <authors>
    <author>pc</author>
    <author>Jordi González Boada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Tamices:</t>
        </r>
        <r>
          <rPr>
            <sz val="8"/>
            <color indexed="81"/>
            <rFont val="Tahoma"/>
            <family val="2"/>
          </rPr>
          <t xml:space="preserve">
Se han puesto los tamices que la norma UNE 103101/95 considera que pueden ser idóneos.</t>
        </r>
      </text>
    </comment>
    <comment ref="C2" authorId="1" shapeId="0">
      <text>
        <r>
          <rPr>
            <sz val="8"/>
            <color indexed="81"/>
            <rFont val="Tahoma"/>
            <family val="2"/>
          </rPr>
          <t>Se introducen los porcentajes que pasan por cada tamiz; no es necesario poner el porcentaje cuando este es igual al 100%</t>
        </r>
      </text>
    </comment>
    <comment ref="J24" authorId="1" shapeId="0">
      <text>
        <r>
          <rPr>
            <sz val="8"/>
            <color indexed="81"/>
            <rFont val="Tahoma"/>
            <family val="2"/>
          </rPr>
          <t>La figura de encima se utiliza para clasificar la fracción limoso-arcillosa.
Cuanto más a la izquierda en la clasificación (en la otra hoja) mejor como subgrado.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</rPr>
          <t xml:space="preserve">D60:
</t>
        </r>
        <r>
          <rPr>
            <sz val="8"/>
            <color indexed="81"/>
            <rFont val="Tahoma"/>
            <family val="2"/>
          </rPr>
          <t>Diámetro de las partículas que cumple la condición: % pasa=60%
Necesario cuando el 12% o menos del material pasa por el tamiz 200 (0.08 mm).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</rPr>
          <t xml:space="preserve">D30:
</t>
        </r>
        <r>
          <rPr>
            <sz val="8"/>
            <color indexed="81"/>
            <rFont val="Tahoma"/>
            <family val="2"/>
          </rPr>
          <t>Diámetro de las partículas que cumple la condición: % pasa=30%
Necesario cuando el 12% o menos del material pasa por el tamiz 200 (0.08 mm).</t>
        </r>
      </text>
    </comment>
    <comment ref="K28" authorId="0" shapeId="0">
      <text>
        <r>
          <rPr>
            <sz val="8"/>
            <color indexed="81"/>
            <rFont val="Tahoma"/>
            <family val="2"/>
          </rPr>
          <t>El valor del índice de grupo va entre parentesis después de la clasificación de grupo.
Ej.: A-2-6 (3)
Cuanto más bajo sea el índice de grupo mejor es la calidad del material para subgrado.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 xml:space="preserve">D10:
</t>
        </r>
        <r>
          <rPr>
            <sz val="8"/>
            <color indexed="81"/>
            <rFont val="Tahoma"/>
            <family val="2"/>
          </rPr>
          <t>Diámetro de las partículas que cumple la condición: % pasa=10%
Necesario cuando el 12% o menos del material pasa por el tamiz 200 (0.08 mm).</t>
        </r>
      </text>
    </comment>
  </commentList>
</comments>
</file>

<file path=xl/comments2.xml><?xml version="1.0" encoding="utf-8"?>
<comments xmlns="http://schemas.openxmlformats.org/spreadsheetml/2006/main">
  <authors>
    <author>pc</author>
    <author>Jordi González Boada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Tamices:</t>
        </r>
        <r>
          <rPr>
            <sz val="8"/>
            <color indexed="81"/>
            <rFont val="Tahoma"/>
            <family val="2"/>
          </rPr>
          <t xml:space="preserve">
Se han puesto los tamices que la norma UNE 103101/95 considera que pueden ser idóneos.</t>
        </r>
      </text>
    </comment>
    <comment ref="C2" authorId="1" shapeId="0">
      <text>
        <r>
          <rPr>
            <sz val="8"/>
            <color indexed="81"/>
            <rFont val="Tahoma"/>
            <family val="2"/>
          </rPr>
          <t>Se introducen los porcentajes que pasan por cada tamiz; no es necesario poner el porcentaje cuando este es igual al 100%</t>
        </r>
      </text>
    </comment>
  </commentList>
</comments>
</file>

<file path=xl/comments3.xml><?xml version="1.0" encoding="utf-8"?>
<comments xmlns="http://schemas.openxmlformats.org/spreadsheetml/2006/main">
  <authors>
    <author>pc</author>
    <author>Jordi González Boada</author>
  </authors>
  <commentList>
    <comment ref="B8" authorId="0" shapeId="0">
      <text>
        <r>
          <rPr>
            <b/>
            <sz val="8"/>
            <color indexed="81"/>
            <rFont val="Tahoma"/>
            <family val="2"/>
          </rPr>
          <t>Tamices:</t>
        </r>
        <r>
          <rPr>
            <sz val="8"/>
            <color indexed="81"/>
            <rFont val="Tahoma"/>
            <family val="2"/>
          </rPr>
          <t xml:space="preserve">
Se han puesto los tamices que la norma UNE 103101/95 considera que pueden ser idóneos.</t>
        </r>
      </text>
    </comment>
    <comment ref="B35" authorId="1" shapeId="0">
      <text>
        <r>
          <rPr>
            <sz val="8"/>
            <color indexed="81"/>
            <rFont val="Tahoma"/>
            <family val="2"/>
          </rPr>
          <t>Criterio de Gibbs, Si la densidad seca es inferior a 2.6/(1+0.026*LL) tenemos un suelo colapsable.
En la línea inferior valor de la densidad seca a partir de la cual un suelo con el límite líquido que presenta esta muestra sería colapsable, en gr/cm3.</t>
        </r>
      </text>
    </comment>
    <comment ref="B45" authorId="1" shapeId="0">
      <text>
        <r>
          <rPr>
            <sz val="8"/>
            <color indexed="81"/>
            <rFont val="Tahoma"/>
            <family val="2"/>
          </rPr>
          <t>Valor teórico; para aproximaciones iniciales.</t>
        </r>
      </text>
    </comment>
    <comment ref="B47" authorId="1" shapeId="0">
      <text>
        <r>
          <rPr>
            <sz val="8"/>
            <color indexed="81"/>
            <rFont val="Tahoma"/>
            <family val="2"/>
          </rPr>
          <t>Valor teórico; para aproximaciones iniciales.</t>
        </r>
      </text>
    </comment>
  </commentList>
</comments>
</file>

<file path=xl/sharedStrings.xml><?xml version="1.0" encoding="utf-8"?>
<sst xmlns="http://schemas.openxmlformats.org/spreadsheetml/2006/main" count="344" uniqueCount="271">
  <si>
    <t>Indice de plasticidad</t>
  </si>
  <si>
    <t>Pasa (%):</t>
  </si>
  <si>
    <t>%</t>
  </si>
  <si>
    <t>SISTEMA DE CLASIFICACIÓN DE SUELOS UNIFICADO "U.S.C.S."</t>
  </si>
  <si>
    <t>SISTEMA DE CLASIFICACIÓN DE SUELOS AASHTO</t>
  </si>
  <si>
    <t>DIVISIONES</t>
  </si>
  <si>
    <t>Símbolos del</t>
  </si>
  <si>
    <t>NOMBRES TÍPICOS</t>
  </si>
  <si>
    <t>IDENTIFICACIÓN DE LABORATORIO</t>
  </si>
  <si>
    <t>Clasificación</t>
  </si>
  <si>
    <t>Materiales granulares</t>
  </si>
  <si>
    <t>Materiales limoso arcilloso</t>
  </si>
  <si>
    <t>PRINCIPALES</t>
  </si>
  <si>
    <t>grupo</t>
  </si>
  <si>
    <t>general</t>
  </si>
  <si>
    <t>(35% o menos pasa por el tamiz Nº 200</t>
  </si>
  <si>
    <t>(más del 35% pasa el tamiz Nº 200)</t>
  </si>
  <si>
    <t>SUELOS DE GRANO GRUESO</t>
  </si>
  <si>
    <t>GRAVAS</t>
  </si>
  <si>
    <t>Gravas límpias</t>
  </si>
  <si>
    <t>GW</t>
  </si>
  <si>
    <t>Gravas, bien graduadas, mezclas grava-arena, pocos finos  o sin finos.</t>
  </si>
  <si>
    <t>Determinar porcentaje de grava y arena en la curva granulométrica. Según el porcentaje de finos (fracción inferior al tamiz número 200). Los suelos de grano grueso se clasifican como sigue:</t>
  </si>
  <si>
    <t>A-1</t>
  </si>
  <si>
    <t>A-7</t>
  </si>
  <si>
    <t>Más de la mitad de la fracción gruesa es retenida por el tamiz número 4 (4,76 mm)</t>
  </si>
  <si>
    <t>Grupo:</t>
  </si>
  <si>
    <t>A-1-a</t>
  </si>
  <si>
    <t>A-1-b</t>
  </si>
  <si>
    <t>A-3</t>
  </si>
  <si>
    <t>A-2-4</t>
  </si>
  <si>
    <t>A-2-5</t>
  </si>
  <si>
    <t>A-2-6</t>
  </si>
  <si>
    <t>A-2-7</t>
  </si>
  <si>
    <t>A-4</t>
  </si>
  <si>
    <t>A-5</t>
  </si>
  <si>
    <t>A-6</t>
  </si>
  <si>
    <t>A-7-5</t>
  </si>
  <si>
    <t>(sin o con pocos finos)</t>
  </si>
  <si>
    <t>A-7-6</t>
  </si>
  <si>
    <t>GP</t>
  </si>
  <si>
    <t>Gravas mal graduadas, mezclas grava-arena, pocos finos o sin finos.</t>
  </si>
  <si>
    <t>No cumplen con las especificaciones de granulometría para GW.</t>
  </si>
  <si>
    <t>Porcentaje que pasa:</t>
  </si>
  <si>
    <t>-</t>
  </si>
  <si>
    <t>Nº 40 (0,425mm)</t>
  </si>
  <si>
    <t>Gravas con finos</t>
  </si>
  <si>
    <t>GM</t>
  </si>
  <si>
    <t>Gravas limosas, mezclas grava-arena-limo.</t>
  </si>
  <si>
    <t>Límites de Atterberg debajo de la línea A o IP&lt;4.</t>
  </si>
  <si>
    <t>Encima de línea A con IP entre 4 y 7 son casos límite que requieren doble símbolo.</t>
  </si>
  <si>
    <t>Nº 200 (0,075mm)</t>
  </si>
  <si>
    <t>36 min</t>
  </si>
  <si>
    <t>Características de la</t>
  </si>
  <si>
    <t>Más de la mitad del material retenido en el tamiz número 200</t>
  </si>
  <si>
    <t>(apreciable cantidad de finos)</t>
  </si>
  <si>
    <t>fracción que pasa por</t>
  </si>
  <si>
    <t>GC</t>
  </si>
  <si>
    <t>Gravas arcillosas, mezclas grava-arena-arcilla.</t>
  </si>
  <si>
    <t>Límites de Atterberg sobre la línea A con IP&gt;7.</t>
  </si>
  <si>
    <t>el tamiz Nº 40</t>
  </si>
  <si>
    <t>Límite líquido</t>
  </si>
  <si>
    <t>ARENAS</t>
  </si>
  <si>
    <t>Arenas límpias</t>
  </si>
  <si>
    <t>SW</t>
  </si>
  <si>
    <t>Arenas bien graduadas, arenas con grava, pocos finos o  sin finos.</t>
  </si>
  <si>
    <t xml:space="preserve">&lt;5%-&gt;GW,GP,SW,SP. </t>
  </si>
  <si>
    <t>Constituyentes</t>
  </si>
  <si>
    <t>Fracmentos de</t>
  </si>
  <si>
    <t>Arena fina</t>
  </si>
  <si>
    <t>Grava y arena arcillosa o limosa</t>
  </si>
  <si>
    <t>Suelos limosos</t>
  </si>
  <si>
    <t>Suelos arcillosos</t>
  </si>
  <si>
    <t>Más de la mitad de la fracción gruesa pasa por el tamiz número 4 (4,76 mm)</t>
  </si>
  <si>
    <t>principales</t>
  </si>
  <si>
    <t>roca, grava y arena</t>
  </si>
  <si>
    <t>(pocos o sin finos)</t>
  </si>
  <si>
    <t>Características</t>
  </si>
  <si>
    <t>Excelente a bueno</t>
  </si>
  <si>
    <t>Pobre a malo</t>
  </si>
  <si>
    <t>SP</t>
  </si>
  <si>
    <t>Arenas mal graduadas, arenas con grava, pocos finos o sin finos.</t>
  </si>
  <si>
    <t>Cuando no se cumplen simultáneamente las condiciones para SW.</t>
  </si>
  <si>
    <t>como subgrado</t>
  </si>
  <si>
    <t>5 al 12%-&gt;casos límite que requieren usar doble símbolo.</t>
  </si>
  <si>
    <t>(1):</t>
  </si>
  <si>
    <t>No plástico</t>
  </si>
  <si>
    <t>(2):</t>
  </si>
  <si>
    <t>Arenas con finos</t>
  </si>
  <si>
    <t>SM</t>
  </si>
  <si>
    <t>Arenas limosas, mezclas de arena y limo.</t>
  </si>
  <si>
    <t>Los límites situados en la zona rayada con IP entre 4 y 7 son casos intermedios que precisan de símbolo doble.</t>
  </si>
  <si>
    <t>SC</t>
  </si>
  <si>
    <t>Arenas arcillosas, mezclas arena-arcilla.</t>
  </si>
  <si>
    <t>SUELOS DE GRANO FINO</t>
  </si>
  <si>
    <t>Limos y arcillas:</t>
  </si>
  <si>
    <t>ML</t>
  </si>
  <si>
    <t>Limos inorgánicos y arenas muy finas, limos límpios, arenas finas, limosas o arcillosa, o limos arcillosos con ligera plásticidad.</t>
  </si>
  <si>
    <t>Límite líquido menor de 50</t>
  </si>
  <si>
    <t>CL</t>
  </si>
  <si>
    <t>Arcillas inorgánicas de plasticidad baja a media, arcillas con grava, arcillas arenosas, arcillas limosas.</t>
  </si>
  <si>
    <t>OL</t>
  </si>
  <si>
    <t>Limos orgánicos y arcillas orgánicas limosas de baja plasticidad.</t>
  </si>
  <si>
    <t>MH</t>
  </si>
  <si>
    <t>Limos inorgánicos, suelos arenosos finos o limosos con mica o diatomeas, limos elásticos.</t>
  </si>
  <si>
    <t>Límite líquido mayor de 50</t>
  </si>
  <si>
    <t>Más de la mitad del material pasa por el tamiz número 200</t>
  </si>
  <si>
    <t>CH</t>
  </si>
  <si>
    <t>Arcillas inorgánicas de plasticidad alta.</t>
  </si>
  <si>
    <t>OH</t>
  </si>
  <si>
    <t>Arcillas orgánicas de plasticidad media a elevada; limos orgánicos.</t>
  </si>
  <si>
    <t>Suelos muy orgánicos</t>
  </si>
  <si>
    <t>PT</t>
  </si>
  <si>
    <t>Turba y otros suelos de alto contenido orgánico.</t>
  </si>
  <si>
    <r>
      <t xml:space="preserve">NP </t>
    </r>
    <r>
      <rPr>
        <sz val="8"/>
        <rFont val="Arial"/>
        <family val="2"/>
      </rPr>
      <t>(1)</t>
    </r>
  </si>
  <si>
    <t>Indice de consistencia</t>
  </si>
  <si>
    <t>Indice de liquidez</t>
  </si>
  <si>
    <t>Indice de compresión</t>
  </si>
  <si>
    <t>Pasa tamiz Nº 4 (5mm):</t>
  </si>
  <si>
    <t>mm</t>
  </si>
  <si>
    <t>Coeficiente de uniformidad (Cu):</t>
  </si>
  <si>
    <t>Grado de curvatura (Cc):</t>
  </si>
  <si>
    <t>Ic (C.R.)=</t>
  </si>
  <si>
    <t>Cc=</t>
  </si>
  <si>
    <r>
      <t>D</t>
    </r>
    <r>
      <rPr>
        <b/>
        <sz val="8"/>
        <rFont val="Arial"/>
        <family val="2"/>
      </rPr>
      <t>60:</t>
    </r>
  </si>
  <si>
    <r>
      <t>D</t>
    </r>
    <r>
      <rPr>
        <b/>
        <sz val="8"/>
        <rFont val="Arial"/>
        <family val="2"/>
      </rPr>
      <t>30</t>
    </r>
    <r>
      <rPr>
        <b/>
        <sz val="10"/>
        <rFont val="Arial"/>
        <family val="2"/>
      </rPr>
      <t>:</t>
    </r>
  </si>
  <si>
    <r>
      <t>I</t>
    </r>
    <r>
      <rPr>
        <b/>
        <vertAlign val="subscript"/>
        <sz val="10"/>
        <color indexed="9"/>
        <rFont val="Arial"/>
        <family val="2"/>
      </rPr>
      <t>L</t>
    </r>
    <r>
      <rPr>
        <b/>
        <sz val="10"/>
        <color indexed="9"/>
        <rFont val="Arial"/>
        <family val="2"/>
      </rPr>
      <t>=</t>
    </r>
  </si>
  <si>
    <t>&gt;12%-&gt;GM,GC,SM,SC.</t>
  </si>
  <si>
    <t>Contracción lineal</t>
  </si>
  <si>
    <t>CL (%)=</t>
  </si>
  <si>
    <t>IP (%)</t>
  </si>
  <si>
    <t>Sistema unificado de clasificación de suelos (S.U.C.S.)</t>
  </si>
  <si>
    <t>Clasificación AAHSTO</t>
  </si>
  <si>
    <t>Pasa tamiz Nº 200 (0,080 mm):</t>
  </si>
  <si>
    <t>Nº 10 (2mm)</t>
  </si>
  <si>
    <t>50 máx</t>
  </si>
  <si>
    <t>30 máx</t>
  </si>
  <si>
    <t>15 máx</t>
  </si>
  <si>
    <t>25 máx</t>
  </si>
  <si>
    <t>10 máx</t>
  </si>
  <si>
    <t>35 máx</t>
  </si>
  <si>
    <t>6 máx</t>
  </si>
  <si>
    <t>40 máx</t>
  </si>
  <si>
    <t>51 mín</t>
  </si>
  <si>
    <t>41 mín</t>
  </si>
  <si>
    <t>11 mín</t>
  </si>
  <si>
    <r>
      <t xml:space="preserve">41 mín </t>
    </r>
    <r>
      <rPr>
        <sz val="8"/>
        <rFont val="Arial"/>
        <family val="2"/>
      </rPr>
      <t>(2)</t>
    </r>
  </si>
  <si>
    <t>Valor del índice de grupo (IG):</t>
  </si>
  <si>
    <t>LL (%)</t>
  </si>
  <si>
    <t>LP (%)</t>
  </si>
  <si>
    <t>Rombo</t>
  </si>
  <si>
    <t>Cuadrado</t>
  </si>
  <si>
    <t>Círculo</t>
  </si>
  <si>
    <t>Triángulo</t>
  </si>
  <si>
    <t>Cruz</t>
  </si>
  <si>
    <t>Marcador</t>
  </si>
  <si>
    <t>H/LL</t>
  </si>
  <si>
    <t>Colapsabilidad</t>
  </si>
  <si>
    <t>H/LP</t>
  </si>
  <si>
    <t>Tamiz</t>
  </si>
  <si>
    <t>Granulometría 1</t>
  </si>
  <si>
    <t>Granulometría 2</t>
  </si>
  <si>
    <t>Granulometría 3</t>
  </si>
  <si>
    <t>Granulometría 4</t>
  </si>
  <si>
    <t>Granulometría 5</t>
  </si>
  <si>
    <t>(mm)</t>
  </si>
  <si>
    <t>Datos para las rectas del ábaco de Casagrande</t>
  </si>
  <si>
    <t>Humedad natural (%)</t>
  </si>
  <si>
    <t>Datos para la recta del criterio de</t>
  </si>
  <si>
    <t>colapsabilidad de Gibbs</t>
  </si>
  <si>
    <t>Plasticidad (arcillas) o compacidad (limos): Baja: LL &lt; 30; Media: 30 &lt; LL &lt; 50; Alta: LL &gt; 50</t>
  </si>
  <si>
    <r>
      <t>Densidad seca (gr/cm</t>
    </r>
    <r>
      <rPr>
        <b/>
        <vertAlign val="super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>)</t>
    </r>
  </si>
  <si>
    <t>Sondeo / cata:</t>
  </si>
  <si>
    <t>Profundidad inicial (m):</t>
  </si>
  <si>
    <t>Profundidad final (m):</t>
  </si>
  <si>
    <t>Profundidad media (m):</t>
  </si>
  <si>
    <t>Límite líquido LL</t>
  </si>
  <si>
    <t>Límite plastico LP</t>
  </si>
  <si>
    <t>Índice plasticidad IP</t>
  </si>
  <si>
    <r>
      <t>D</t>
    </r>
    <r>
      <rPr>
        <b/>
        <sz val="8"/>
        <color indexed="9"/>
        <rFont val="Arial"/>
        <family val="2"/>
      </rPr>
      <t>60:</t>
    </r>
  </si>
  <si>
    <r>
      <t>D</t>
    </r>
    <r>
      <rPr>
        <b/>
        <sz val="8"/>
        <color indexed="9"/>
        <rFont val="Arial"/>
        <family val="2"/>
      </rPr>
      <t>30</t>
    </r>
    <r>
      <rPr>
        <b/>
        <sz val="10"/>
        <color indexed="9"/>
        <rFont val="Arial"/>
        <family val="2"/>
      </rPr>
      <t>:</t>
    </r>
  </si>
  <si>
    <r>
      <t>D</t>
    </r>
    <r>
      <rPr>
        <b/>
        <sz val="8"/>
        <color indexed="9"/>
        <rFont val="Arial"/>
        <family val="2"/>
      </rPr>
      <t xml:space="preserve">10 </t>
    </r>
    <r>
      <rPr>
        <b/>
        <sz val="10"/>
        <color indexed="9"/>
        <rFont val="Arial"/>
        <family val="2"/>
      </rPr>
      <t>(diámetro efectivo):</t>
    </r>
  </si>
  <si>
    <t>El índice de plasticidad del subgrupo A-7-5 es igual o menor al LL menos 30</t>
  </si>
  <si>
    <t>El índice de plasticidad del subgrupo A-7-6 es mayor que LL menos 30</t>
  </si>
  <si>
    <t>acumulado (%)</t>
  </si>
  <si>
    <t>Retenido</t>
  </si>
  <si>
    <t>parcial (%)</t>
  </si>
  <si>
    <t>Pasa</t>
  </si>
  <si>
    <t>(%)</t>
  </si>
  <si>
    <t>Pasante</t>
  </si>
  <si>
    <t>D60</t>
  </si>
  <si>
    <t>D30</t>
  </si>
  <si>
    <t>D10</t>
  </si>
  <si>
    <r>
      <t>D</t>
    </r>
    <r>
      <rPr>
        <sz val="8"/>
        <rFont val="Arial"/>
        <family val="2"/>
      </rPr>
      <t>60:</t>
    </r>
  </si>
  <si>
    <r>
      <t>D</t>
    </r>
    <r>
      <rPr>
        <sz val="8"/>
        <rFont val="Arial"/>
        <family val="2"/>
      </rPr>
      <t>30</t>
    </r>
    <r>
      <rPr>
        <sz val="10"/>
        <rFont val="Arial"/>
        <family val="2"/>
      </rPr>
      <t>:</t>
    </r>
  </si>
  <si>
    <r>
      <t>D</t>
    </r>
    <r>
      <rPr>
        <sz val="8"/>
        <rFont val="Arial"/>
        <family val="2"/>
      </rPr>
      <t xml:space="preserve">10 </t>
    </r>
    <r>
      <rPr>
        <sz val="10"/>
        <rFont val="Arial"/>
        <family val="2"/>
      </rPr>
      <t>(diámetro efectivo):</t>
    </r>
  </si>
  <si>
    <r>
      <t>D</t>
    </r>
    <r>
      <rPr>
        <b/>
        <sz val="8"/>
        <rFont val="Arial"/>
        <family val="2"/>
      </rPr>
      <t xml:space="preserve">10 </t>
    </r>
    <r>
      <rPr>
        <b/>
        <sz val="10"/>
        <rFont val="Arial"/>
        <family val="2"/>
      </rPr>
      <t>(diámetro efectivo):</t>
    </r>
  </si>
  <si>
    <t>Límite líquido, LL:</t>
  </si>
  <si>
    <t>Límite plastico, LP:</t>
  </si>
  <si>
    <t>Índice plasticidad, IP:</t>
  </si>
  <si>
    <r>
      <t>Cu=D</t>
    </r>
    <r>
      <rPr>
        <vertAlign val="subscript"/>
        <sz val="9"/>
        <rFont val="Arial"/>
        <family val="2"/>
      </rPr>
      <t>60</t>
    </r>
    <r>
      <rPr>
        <sz val="9"/>
        <rFont val="Arial"/>
        <family val="2"/>
      </rPr>
      <t>/D</t>
    </r>
    <r>
      <rPr>
        <vertAlign val="subscript"/>
        <sz val="9"/>
        <rFont val="Arial"/>
        <family val="2"/>
      </rPr>
      <t>10</t>
    </r>
    <r>
      <rPr>
        <sz val="9"/>
        <rFont val="Arial"/>
        <family val="2"/>
      </rPr>
      <t>&gt;4 Cc=(D30)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/D</t>
    </r>
    <r>
      <rPr>
        <vertAlign val="subscript"/>
        <sz val="9"/>
        <rFont val="Arial"/>
        <family val="2"/>
      </rPr>
      <t>10</t>
    </r>
    <r>
      <rPr>
        <sz val="9"/>
        <rFont val="Arial"/>
        <family val="2"/>
      </rPr>
      <t>xD</t>
    </r>
    <r>
      <rPr>
        <vertAlign val="subscript"/>
        <sz val="9"/>
        <rFont val="Arial"/>
        <family val="2"/>
      </rPr>
      <t>60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entre</t>
    </r>
    <r>
      <rPr>
        <sz val="9"/>
        <rFont val="Arial"/>
        <family val="2"/>
      </rPr>
      <t xml:space="preserve"> 1 y 3</t>
    </r>
  </si>
  <si>
    <r>
      <t>Cu=D</t>
    </r>
    <r>
      <rPr>
        <vertAlign val="subscript"/>
        <sz val="9"/>
        <rFont val="Arial"/>
        <family val="2"/>
      </rPr>
      <t>60</t>
    </r>
    <r>
      <rPr>
        <sz val="9"/>
        <rFont val="Arial"/>
        <family val="2"/>
      </rPr>
      <t>/D</t>
    </r>
    <r>
      <rPr>
        <vertAlign val="subscript"/>
        <sz val="9"/>
        <rFont val="Arial"/>
        <family val="2"/>
      </rPr>
      <t>10</t>
    </r>
    <r>
      <rPr>
        <sz val="9"/>
        <rFont val="Arial"/>
        <family val="2"/>
      </rPr>
      <t>&gt;6 Cc=(D30)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/D</t>
    </r>
    <r>
      <rPr>
        <vertAlign val="subscript"/>
        <sz val="9"/>
        <rFont val="Arial"/>
        <family val="2"/>
      </rPr>
      <t>10</t>
    </r>
    <r>
      <rPr>
        <sz val="9"/>
        <rFont val="Arial"/>
        <family val="2"/>
      </rPr>
      <t>xD</t>
    </r>
    <r>
      <rPr>
        <vertAlign val="subscript"/>
        <sz val="9"/>
        <rFont val="Arial"/>
        <family val="2"/>
      </rPr>
      <t>60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entre</t>
    </r>
    <r>
      <rPr>
        <sz val="9"/>
        <rFont val="Arial"/>
        <family val="2"/>
      </rPr>
      <t xml:space="preserve"> 1 y 3</t>
    </r>
  </si>
  <si>
    <t xml:space="preserve">   Las casillas en gris son los datos, los valores que se deben modifican.</t>
  </si>
  <si>
    <t>pero no oculto para así poder ver las fórmulas.</t>
  </si>
  <si>
    <t xml:space="preserve">   Las casillas que tienen la esquina superior derecha en rojo contienen comentarios, para verlos</t>
  </si>
  <si>
    <t>sólo hay que situar el puntero del ratón sobre dicha casilla.</t>
  </si>
  <si>
    <t>Nota:</t>
  </si>
  <si>
    <t>La geotecnia no se resume en simples datos que puedan ser introducidos</t>
  </si>
  <si>
    <t>Jordi González Boada</t>
  </si>
  <si>
    <t>en hojas de cálculo sin más ni más; se deben manejar los datos que se</t>
  </si>
  <si>
    <t>tienen con criterio, por lo que no me hago responsable de los resultados</t>
  </si>
  <si>
    <t>que obtengáis de las hojas de cálculo ni de la utilización que hagáis de</t>
  </si>
  <si>
    <t>los mismos.</t>
  </si>
  <si>
    <t>http://www.jordigonzalezboada.com</t>
  </si>
  <si>
    <t>Geólogo nº 230 I.C.O.G.A.</t>
  </si>
  <si>
    <t>geologo@jordigonzalezboada.com</t>
  </si>
  <si>
    <t>Enero</t>
  </si>
  <si>
    <t>Teléfono 661 26 46 98</t>
  </si>
  <si>
    <t>Febrero</t>
  </si>
  <si>
    <t xml:space="preserve">geologo@jordigonzalezboada.com </t>
  </si>
  <si>
    <t>Marzo</t>
  </si>
  <si>
    <t>Abril</t>
  </si>
  <si>
    <t>Mayo</t>
  </si>
  <si>
    <t>Jordi González Boada                              Geólogo</t>
  </si>
  <si>
    <t>Junio</t>
  </si>
  <si>
    <t>Julio</t>
  </si>
  <si>
    <t>Agosto</t>
  </si>
  <si>
    <t>Datos personales</t>
  </si>
  <si>
    <t>Septiembre</t>
  </si>
  <si>
    <t>Octubre</t>
  </si>
  <si>
    <t>Fecha de nacimiento: 11 de febrero de 1972.</t>
  </si>
  <si>
    <t>Noviembre</t>
  </si>
  <si>
    <t>Lugar de nacimiento: Barcelona.</t>
  </si>
  <si>
    <t>Diciembre</t>
  </si>
  <si>
    <t>Carnet de conducir B1.</t>
  </si>
  <si>
    <t>C.I. 138 escala Cattell (95 percentiles).</t>
  </si>
  <si>
    <t>Títulos oficiales (resumen)</t>
  </si>
  <si>
    <t>Colegiado del Ilustre Colegio Oficial de Geólogos de Andalucía nº 230.</t>
  </si>
  <si>
    <t>Datos profesionales</t>
  </si>
  <si>
    <t>Formación complementaria</t>
  </si>
  <si>
    <t>Otros conocimientos</t>
  </si>
  <si>
    <t>Informática:</t>
  </si>
  <si>
    <t>Página web: http://www.jordigonzalezboada.com</t>
  </si>
  <si>
    <t>Idiomas:</t>
  </si>
  <si>
    <t>Jordi González Boada - Teléfono 661 26 46 98</t>
  </si>
  <si>
    <t xml:space="preserve"> geologo@jordigonzalezboada.com </t>
  </si>
  <si>
    <r>
      <t xml:space="preserve">1992/98 </t>
    </r>
    <r>
      <rPr>
        <b/>
        <sz val="12"/>
        <color indexed="8"/>
        <rFont val="Times-Bold"/>
      </rPr>
      <t xml:space="preserve">Licenciado en Ciencias Geológicas. </t>
    </r>
    <r>
      <rPr>
        <sz val="12"/>
        <color indexed="8"/>
        <rFont val="Times-Roman"/>
      </rPr>
      <t>Universidad de Granada.</t>
    </r>
  </si>
  <si>
    <r>
      <t xml:space="preserve">SOLTEST 2002, S.L. </t>
    </r>
    <r>
      <rPr>
        <sz val="12"/>
        <color indexed="8"/>
        <rFont val="Times-Roman"/>
      </rPr>
      <t xml:space="preserve">Geólogo. </t>
    </r>
    <r>
      <rPr>
        <i/>
        <u/>
        <sz val="12"/>
        <color indexed="8"/>
        <rFont val="Times-Roman"/>
      </rPr>
      <t>Responsable de área GTL</t>
    </r>
    <r>
      <rPr>
        <sz val="12"/>
        <color indexed="8"/>
        <rFont val="Times-Roman"/>
      </rPr>
      <t xml:space="preserve">. </t>
    </r>
    <r>
      <rPr>
        <i/>
        <sz val="12"/>
        <color indexed="8"/>
        <rFont val="Times-Roman"/>
      </rPr>
      <t>Responsable de calidad.</t>
    </r>
    <r>
      <rPr>
        <i/>
        <sz val="12"/>
        <color indexed="8"/>
        <rFont val="Times-Italic"/>
      </rPr>
      <t xml:space="preserve"> </t>
    </r>
    <r>
      <rPr>
        <sz val="12"/>
        <color indexed="8"/>
        <rFont val="Times-Italic"/>
      </rPr>
      <t xml:space="preserve">Acreditación del laboratorio en GTL. </t>
    </r>
    <r>
      <rPr>
        <sz val="12"/>
        <color indexed="8"/>
        <rFont val="Times-Roman"/>
      </rPr>
      <t xml:space="preserve">Elaboración de estudios geotécnicos y testificación de sondeos para GEOSCAN, Geología aplicada, S.L. </t>
    </r>
    <r>
      <rPr>
        <i/>
        <sz val="12"/>
        <color indexed="8"/>
        <rFont val="Times-Italic"/>
      </rPr>
      <t>2003.</t>
    </r>
  </si>
  <si>
    <r>
      <t xml:space="preserve">GEOSCAN Geología aplicada, S.L. </t>
    </r>
    <r>
      <rPr>
        <i/>
        <u/>
        <sz val="12"/>
        <color indexed="8"/>
        <rFont val="Times-Roman"/>
      </rPr>
      <t>Geólogo</t>
    </r>
    <r>
      <rPr>
        <sz val="12"/>
        <color indexed="8"/>
        <rFont val="Times-Roman"/>
      </rPr>
      <t>.</t>
    </r>
    <r>
      <rPr>
        <b/>
        <sz val="12"/>
        <color indexed="8"/>
        <rFont val="Times-Roman"/>
      </rPr>
      <t xml:space="preserve"> </t>
    </r>
    <r>
      <rPr>
        <sz val="12"/>
        <color indexed="8"/>
        <rFont val="Times-Roman"/>
      </rPr>
      <t xml:space="preserve">Elaboración de estudios geotécnicos, testificación de sondeos y calicatas. </t>
    </r>
    <r>
      <rPr>
        <i/>
        <sz val="12"/>
        <color indexed="8"/>
        <rFont val="Times-Italic"/>
      </rPr>
      <t>2003.</t>
    </r>
  </si>
  <si>
    <r>
      <t xml:space="preserve">TCO Tecnontinyent, S.L. </t>
    </r>
    <r>
      <rPr>
        <i/>
        <u/>
        <sz val="12"/>
        <color indexed="8"/>
        <rFont val="Times-Roman"/>
      </rPr>
      <t>Geólogo</t>
    </r>
    <r>
      <rPr>
        <sz val="12"/>
        <color indexed="8"/>
        <rFont val="Times-Roman"/>
      </rPr>
      <t xml:space="preserve">. </t>
    </r>
    <r>
      <rPr>
        <i/>
        <sz val="12"/>
        <color indexed="8"/>
        <rFont val="Times-Roman"/>
      </rPr>
      <t>Responsable de calidad.</t>
    </r>
    <r>
      <rPr>
        <b/>
        <sz val="12"/>
        <color indexed="8"/>
        <rFont val="Times-Roman"/>
      </rPr>
      <t xml:space="preserve"> </t>
    </r>
    <r>
      <rPr>
        <sz val="12"/>
        <color indexed="8"/>
        <rFont val="Times-Roman"/>
      </rPr>
      <t xml:space="preserve">Creación y puesta en marcha del departamento de geotecnia. Elaboración de estudios geotécnicos, testificación de sondeos y calicatas. </t>
    </r>
    <r>
      <rPr>
        <i/>
        <sz val="12"/>
        <color indexed="8"/>
        <rFont val="Times-Italic"/>
      </rPr>
      <t>2002 – 2003.</t>
    </r>
  </si>
  <si>
    <r>
      <t xml:space="preserve">Servicios de Control e Inspección S.A. (SCI S.A.), Delegación Canaria. </t>
    </r>
    <r>
      <rPr>
        <i/>
        <u/>
        <sz val="12"/>
        <color indexed="8"/>
        <rFont val="Times-Bold"/>
      </rPr>
      <t>Geólogo</t>
    </r>
    <r>
      <rPr>
        <b/>
        <sz val="12"/>
        <color indexed="8"/>
        <rFont val="Times-Bold"/>
      </rPr>
      <t xml:space="preserve">. </t>
    </r>
    <r>
      <rPr>
        <sz val="12"/>
        <color indexed="8"/>
        <rFont val="Times-Roman"/>
      </rPr>
      <t xml:space="preserve">Elaboración de estudios geotécnicos, testificación de sondeos y ensayos sobre muestras. </t>
    </r>
    <r>
      <rPr>
        <i/>
        <sz val="12"/>
        <color indexed="8"/>
        <rFont val="Times-Italic"/>
      </rPr>
      <t>2001 – 2002.</t>
    </r>
  </si>
  <si>
    <r>
      <t>Cemosa</t>
    </r>
    <r>
      <rPr>
        <sz val="12"/>
        <color indexed="8"/>
        <rFont val="Times-Roman"/>
      </rPr>
      <t xml:space="preserve">: Ensayos de campo y laboratorio en la construcción de la Autopista del Sol. </t>
    </r>
    <r>
      <rPr>
        <i/>
        <sz val="12"/>
        <color indexed="8"/>
        <rFont val="Times-Italic"/>
      </rPr>
      <t>2001.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</si>
  <si>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sz val="12"/>
        <color indexed="8"/>
        <rFont val="Times-Roman"/>
      </rPr>
      <t xml:space="preserve">2003 Curso de </t>
    </r>
    <r>
      <rPr>
        <b/>
        <sz val="12"/>
        <color indexed="8"/>
        <rFont val="Times-Roman"/>
      </rPr>
      <t>“Especialista en Ensayos de Laboratorio de Geotecnia y Viales”</t>
    </r>
    <r>
      <rPr>
        <sz val="12"/>
        <color indexed="8"/>
        <rFont val="Times-Roman"/>
      </rPr>
      <t xml:space="preserve"> (30 horas). I.C.O.G.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</si>
  <si>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sz val="12"/>
        <color indexed="8"/>
        <rFont val="Times-Roman"/>
      </rPr>
      <t xml:space="preserve">2001 </t>
    </r>
    <r>
      <rPr>
        <i/>
        <sz val="12"/>
        <color indexed="8"/>
        <rFont val="Times-Italic"/>
      </rPr>
      <t xml:space="preserve">Master </t>
    </r>
    <r>
      <rPr>
        <sz val="12"/>
        <color indexed="8"/>
        <rFont val="Times-Roman"/>
      </rPr>
      <t xml:space="preserve">en </t>
    </r>
    <r>
      <rPr>
        <b/>
        <sz val="12"/>
        <color indexed="8"/>
        <rFont val="Times-Bold"/>
      </rPr>
      <t xml:space="preserve">"Dirección General de Empresas" </t>
    </r>
    <r>
      <rPr>
        <sz val="12"/>
        <color indexed="8"/>
        <rFont val="Times-Roman"/>
      </rPr>
      <t xml:space="preserve">(850 horas). </t>
    </r>
    <r>
      <rPr>
        <i/>
        <sz val="12"/>
        <color indexed="8"/>
        <rFont val="Times-Roman"/>
      </rPr>
      <t>Sobresaliente</t>
    </r>
    <r>
      <rPr>
        <sz val="12"/>
        <color indexed="8"/>
        <rFont val="Times-Roman"/>
      </rPr>
      <t>. Escuela Internacional de Negocios (CEREM).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</si>
  <si>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sz val="12"/>
        <color indexed="8"/>
        <rFont val="Times-Roman"/>
      </rPr>
      <t xml:space="preserve">2001 </t>
    </r>
    <r>
      <rPr>
        <i/>
        <sz val="12"/>
        <color indexed="8"/>
        <rFont val="Times-Italic"/>
      </rPr>
      <t xml:space="preserve">Master </t>
    </r>
    <r>
      <rPr>
        <b/>
        <sz val="12"/>
        <color indexed="8"/>
        <rFont val="Times-Bold"/>
      </rPr>
      <t xml:space="preserve">"Gestión Medioambiental y Auditorías" </t>
    </r>
    <r>
      <rPr>
        <sz val="12"/>
        <color indexed="8"/>
        <rFont val="Times-Roman"/>
      </rPr>
      <t xml:space="preserve">(550 horas). </t>
    </r>
    <r>
      <rPr>
        <i/>
        <sz val="12"/>
        <color indexed="8"/>
        <rFont val="Times-Roman"/>
      </rPr>
      <t>Sobresaliente</t>
    </r>
    <r>
      <rPr>
        <sz val="12"/>
        <color indexed="8"/>
        <rFont val="Times-Roman"/>
      </rPr>
      <t>. International University Study Center (IUSC-ADA).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</si>
  <si>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sz val="12"/>
        <color indexed="8"/>
        <rFont val="Times-Roman"/>
      </rPr>
      <t xml:space="preserve">2001 </t>
    </r>
    <r>
      <rPr>
        <i/>
        <sz val="12"/>
        <color indexed="8"/>
        <rFont val="Times-Italic"/>
      </rPr>
      <t xml:space="preserve">Diploma </t>
    </r>
    <r>
      <rPr>
        <sz val="12"/>
        <color indexed="8"/>
        <rFont val="Times-Roman"/>
      </rPr>
      <t xml:space="preserve">de </t>
    </r>
    <r>
      <rPr>
        <b/>
        <sz val="12"/>
        <color indexed="8"/>
        <rFont val="Times-Bold"/>
      </rPr>
      <t xml:space="preserve">Impacto Ambiental. </t>
    </r>
    <r>
      <rPr>
        <sz val="12"/>
        <color indexed="8"/>
        <rFont val="Times-Roman"/>
      </rPr>
      <t>Institut Català de Noves Professions (Generalitat de Catalunya).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</si>
  <si>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sz val="12"/>
        <color indexed="8"/>
        <rFont val="Times-Roman"/>
      </rPr>
      <t xml:space="preserve">2001 </t>
    </r>
    <r>
      <rPr>
        <i/>
        <sz val="12"/>
        <color indexed="8"/>
        <rFont val="Times-Italic"/>
      </rPr>
      <t xml:space="preserve">Curso </t>
    </r>
    <r>
      <rPr>
        <sz val="12"/>
        <color indexed="8"/>
        <rFont val="Times-Roman"/>
      </rPr>
      <t xml:space="preserve">de </t>
    </r>
    <r>
      <rPr>
        <b/>
        <sz val="12"/>
        <color indexed="8"/>
        <rFont val="Times-Bold"/>
      </rPr>
      <t xml:space="preserve">"Urbanismo y Ordenación del territorio" </t>
    </r>
    <r>
      <rPr>
        <sz val="12"/>
        <color indexed="8"/>
        <rFont val="Times-Roman"/>
      </rPr>
      <t>(20 horas) I.C.O.G.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</si>
  <si>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sz val="12"/>
        <color indexed="8"/>
        <rFont val="Times-Roman"/>
      </rPr>
      <t xml:space="preserve">1999 </t>
    </r>
    <r>
      <rPr>
        <i/>
        <sz val="12"/>
        <color indexed="8"/>
        <rFont val="Times-Italic"/>
      </rPr>
      <t xml:space="preserve">Curso </t>
    </r>
    <r>
      <rPr>
        <sz val="12"/>
        <color indexed="8"/>
        <rFont val="Times-Roman"/>
      </rPr>
      <t xml:space="preserve">de </t>
    </r>
    <r>
      <rPr>
        <b/>
        <sz val="12"/>
        <color indexed="8"/>
        <rFont val="Times-Bold"/>
      </rPr>
      <t xml:space="preserve">"Ingeniería Geotécnica de Túneles" </t>
    </r>
    <r>
      <rPr>
        <sz val="12"/>
        <color indexed="8"/>
        <rFont val="Times-Roman"/>
      </rPr>
      <t>(20 horas) I.C.O.G.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</si>
  <si>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sz val="12"/>
        <color indexed="8"/>
        <rFont val="Times-Roman"/>
      </rPr>
      <t xml:space="preserve">1998 </t>
    </r>
    <r>
      <rPr>
        <i/>
        <sz val="12"/>
        <color indexed="8"/>
        <rFont val="Times-Italic"/>
      </rPr>
      <t xml:space="preserve">Curso </t>
    </r>
    <r>
      <rPr>
        <sz val="12"/>
        <color indexed="8"/>
        <rFont val="Times-Roman"/>
      </rPr>
      <t xml:space="preserve">de </t>
    </r>
    <r>
      <rPr>
        <b/>
        <sz val="12"/>
        <color indexed="8"/>
        <rFont val="Times-Bold"/>
      </rPr>
      <t xml:space="preserve">"Evaluación de Impacto Ambiental" </t>
    </r>
    <r>
      <rPr>
        <sz val="12"/>
        <color indexed="8"/>
        <rFont val="Times-Roman"/>
      </rPr>
      <t>(20 horas) I.C.O.G.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</si>
  <si>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b/>
        <sz val="12"/>
        <color indexed="8"/>
        <rFont val="Times-Bold"/>
      </rPr>
      <t xml:space="preserve">Sistemas operativos: </t>
    </r>
    <r>
      <rPr>
        <sz val="12"/>
        <color indexed="8"/>
        <rFont val="Times-Roman"/>
      </rPr>
      <t>Windows, Dos, BeOS, QNX, Linux.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</si>
  <si>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b/>
        <sz val="12"/>
        <color indexed="8"/>
        <rFont val="Times-Bold"/>
      </rPr>
      <t xml:space="preserve">Ofimática: </t>
    </r>
    <r>
      <rPr>
        <sz val="12"/>
        <color indexed="8"/>
        <rFont val="Times-Roman"/>
      </rPr>
      <t>MsOffice, StarOffice, Word Perfect Office, Open Office.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</si>
  <si>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b/>
        <sz val="12"/>
        <color indexed="8"/>
        <rFont val="Times-Bold"/>
      </rPr>
      <t xml:space="preserve">Tratamiento de imágenes: </t>
    </r>
    <r>
      <rPr>
        <sz val="12"/>
        <color indexed="8"/>
        <rFont val="Times-Roman"/>
      </rPr>
      <t>Photoshop, Corel Photo Paint, Paint Shop Pro, Gimp,...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</si>
  <si>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b/>
        <sz val="12"/>
        <color indexed="8"/>
        <rFont val="Times-Bold"/>
      </rPr>
      <t xml:space="preserve">Internet: </t>
    </r>
    <r>
      <rPr>
        <sz val="12"/>
        <color indexed="8"/>
        <rFont val="Times-Roman"/>
      </rPr>
      <t>diseño de páginas web, navegadores, correo electrónico,...</t>
    </r>
  </si>
  <si>
    <r>
      <t>·</t>
    </r>
    <r>
      <rPr>
        <sz val="7"/>
        <color indexed="8"/>
        <rFont val="Times New Roman"/>
        <family val="1"/>
      </rPr>
      <t xml:space="preserve">        </t>
    </r>
    <r>
      <rPr>
        <b/>
        <sz val="12"/>
        <color indexed="8"/>
        <rFont val="Times-Bold"/>
      </rPr>
      <t xml:space="preserve">Inglés </t>
    </r>
    <r>
      <rPr>
        <sz val="12"/>
        <color indexed="8"/>
        <rFont val="Times-Roman"/>
      </rPr>
      <t>hablado, traducido y escrito nivel medio.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</si>
  <si>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2"/>
        <color indexed="8"/>
        <rFont val="Times-Bold"/>
      </rPr>
      <t xml:space="preserve">Catalán </t>
    </r>
    <r>
      <rPr>
        <sz val="12"/>
        <color indexed="8"/>
        <rFont val="Times-Roman"/>
      </rPr>
      <t>hablado, traducido y escrito nivel bilingüe.</t>
    </r>
  </si>
  <si>
    <r>
      <t xml:space="preserve">SOLTEST 2002, S.L. </t>
    </r>
    <r>
      <rPr>
        <sz val="12"/>
        <color indexed="8"/>
        <rFont val="Times-Roman"/>
      </rPr>
      <t xml:space="preserve">Geólogo. </t>
    </r>
    <r>
      <rPr>
        <i/>
        <u/>
        <sz val="12"/>
        <color indexed="8"/>
        <rFont val="Times-Roman"/>
      </rPr>
      <t>Director Técnico</t>
    </r>
    <r>
      <rPr>
        <sz val="12"/>
        <color indexed="8"/>
        <rFont val="Times-Roman"/>
      </rPr>
      <t xml:space="preserve">. </t>
    </r>
    <r>
      <rPr>
        <i/>
        <sz val="12"/>
        <color indexed="8"/>
        <rFont val="Times-Roman"/>
      </rPr>
      <t>Responsable de calidad.</t>
    </r>
    <r>
      <rPr>
        <sz val="12"/>
        <color indexed="8"/>
        <rFont val="Times-Roman"/>
      </rPr>
      <t xml:space="preserve"> </t>
    </r>
    <r>
      <rPr>
        <sz val="12"/>
        <color indexed="8"/>
        <rFont val="Times-Italic"/>
      </rPr>
      <t xml:space="preserve">Acreditación del laboratorio en GTL: referencia 07033GTL/04(B). </t>
    </r>
    <r>
      <rPr>
        <sz val="12"/>
        <color indexed="8"/>
        <rFont val="Times-Roman"/>
      </rPr>
      <t xml:space="preserve">Elaboración de estudios geotécnicos y testificación de sondeos y calicatas para GEOSCAN, Geología aplicada, S.L. </t>
    </r>
    <r>
      <rPr>
        <i/>
        <sz val="12"/>
        <color indexed="8"/>
        <rFont val="Times-Italic"/>
      </rPr>
      <t>2003 – 2004.</t>
    </r>
  </si>
  <si>
    <t>Septiembre 2005. Para ver una versión actualizada de mi currículo puedes visitar mi página.</t>
  </si>
  <si>
    <r>
      <t>ALN Geotecnia, S.C.A.</t>
    </r>
    <r>
      <rPr>
        <sz val="12"/>
        <color indexed="8"/>
        <rFont val="Times-Roman"/>
      </rPr>
      <t xml:space="preserve"> </t>
    </r>
    <r>
      <rPr>
        <i/>
        <u/>
        <sz val="12"/>
        <color indexed="8"/>
        <rFont val="Times-Roman"/>
      </rPr>
      <t>Geólogo</t>
    </r>
    <r>
      <rPr>
        <sz val="12"/>
        <color indexed="8"/>
        <rFont val="Times-Roman"/>
      </rPr>
      <t xml:space="preserve">. Elaboración de estudios geotécnicos.                           </t>
    </r>
    <r>
      <rPr>
        <i/>
        <sz val="12"/>
        <color indexed="8"/>
        <rFont val="Times-Roman"/>
      </rPr>
      <t>2004 – 2005.</t>
    </r>
  </si>
  <si>
    <t xml:space="preserve">   No se debe dar por supuesto que los contenidos de estas hojas están libres de errores, por lo que</t>
  </si>
  <si>
    <t>se os recomienda que los reviséis antes de su utilización.</t>
  </si>
  <si>
    <t xml:space="preserve">   Las casillas en cualquier otro color no se deben modificar por lo que su contenido está protegido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</si>
</sst>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2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62"/>
      <name val="Arial"/>
      <family val="2"/>
    </font>
    <font>
      <b/>
      <vertAlign val="superscript"/>
      <sz val="10"/>
      <color indexed="9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vertAlign val="subscript"/>
      <sz val="10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60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b/>
      <sz val="10"/>
      <color indexed="60"/>
      <name val="Arial"/>
      <family val="2"/>
    </font>
    <font>
      <u/>
      <sz val="10"/>
      <color indexed="12"/>
      <name val="Helv"/>
    </font>
    <font>
      <b/>
      <sz val="8"/>
      <color indexed="16"/>
      <name val="Arial"/>
      <family val="2"/>
    </font>
    <font>
      <u/>
      <sz val="8"/>
      <color indexed="12"/>
      <name val="Helv"/>
    </font>
    <font>
      <b/>
      <sz val="12"/>
      <color indexed="12"/>
      <name val="Arial"/>
      <family val="2"/>
    </font>
    <font>
      <b/>
      <sz val="18"/>
      <color indexed="8"/>
      <name val="Helvetica-Bold"/>
    </font>
    <font>
      <b/>
      <sz val="11"/>
      <color indexed="8"/>
      <name val="Helvetica-Bold"/>
    </font>
    <font>
      <b/>
      <sz val="14"/>
      <color indexed="18"/>
      <name val="Times-Bold"/>
    </font>
    <font>
      <b/>
      <sz val="12"/>
      <color indexed="18"/>
      <name val="Times-Bold"/>
    </font>
    <font>
      <sz val="12"/>
      <color indexed="8"/>
      <name val="Times-Roman"/>
    </font>
    <font>
      <sz val="12"/>
      <name val="Times New Roman"/>
      <family val="1"/>
    </font>
    <font>
      <b/>
      <sz val="12"/>
      <color indexed="8"/>
      <name val="Times-Bold"/>
    </font>
    <font>
      <i/>
      <u/>
      <sz val="12"/>
      <color indexed="8"/>
      <name val="Times-Roman"/>
    </font>
    <font>
      <i/>
      <sz val="12"/>
      <color indexed="8"/>
      <name val="Times-Roman"/>
    </font>
    <font>
      <b/>
      <sz val="12"/>
      <color indexed="8"/>
      <name val="Times-Roman"/>
    </font>
    <font>
      <sz val="12"/>
      <color indexed="8"/>
      <name val="Times-Italic"/>
    </font>
    <font>
      <i/>
      <sz val="12"/>
      <color indexed="8"/>
      <name val="Times-Italic"/>
    </font>
    <font>
      <i/>
      <u/>
      <sz val="12"/>
      <color indexed="8"/>
      <name val="Times-Bold"/>
    </font>
    <font>
      <sz val="7"/>
      <color indexed="8"/>
      <name val="Times New Roman"/>
      <family val="1"/>
    </font>
    <font>
      <sz val="12"/>
      <color indexed="8"/>
      <name val="Symbol"/>
      <family val="1"/>
      <charset val="2"/>
    </font>
    <font>
      <u/>
      <sz val="12"/>
      <color indexed="8"/>
      <name val="Times-Roman"/>
    </font>
    <font>
      <sz val="12"/>
      <color indexed="12"/>
      <name val="Times-Roman"/>
    </font>
    <font>
      <u/>
      <sz val="12"/>
      <name val="Times-Roman"/>
    </font>
    <font>
      <sz val="7"/>
      <name val="Times New Roman"/>
      <family val="1"/>
    </font>
    <font>
      <sz val="10"/>
      <name val="Symbol"/>
      <family val="1"/>
      <charset val="2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lightTrellis">
        <fgColor indexed="26"/>
        <bgColor indexed="47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0"/>
      </left>
      <right/>
      <top style="medium">
        <color indexed="60"/>
      </top>
      <bottom/>
      <diagonal/>
    </border>
    <border>
      <left/>
      <right/>
      <top style="medium">
        <color indexed="60"/>
      </top>
      <bottom/>
      <diagonal/>
    </border>
    <border>
      <left/>
      <right style="medium">
        <color indexed="60"/>
      </right>
      <top style="medium">
        <color indexed="60"/>
      </top>
      <bottom/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/>
      <top/>
      <bottom style="medium">
        <color indexed="60"/>
      </bottom>
      <diagonal/>
    </border>
    <border>
      <left/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/>
      <top/>
      <bottom/>
      <diagonal/>
    </border>
    <border>
      <left/>
      <right style="medium">
        <color indexed="60"/>
      </right>
      <top/>
      <bottom/>
      <diagonal/>
    </border>
    <border>
      <left style="dashed">
        <color indexed="60"/>
      </left>
      <right style="dashed">
        <color indexed="60"/>
      </right>
      <top/>
      <bottom style="medium">
        <color indexed="60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 applyBorder="0"/>
  </cellStyleXfs>
  <cellXfs count="381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2" fontId="0" fillId="2" borderId="0" xfId="0" applyNumberFormat="1" applyFill="1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3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justify"/>
    </xf>
    <xf numFmtId="0" fontId="10" fillId="4" borderId="2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justify"/>
    </xf>
    <xf numFmtId="0" fontId="10" fillId="4" borderId="13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0" fontId="8" fillId="2" borderId="0" xfId="0" applyFont="1" applyFill="1" applyBorder="1"/>
    <xf numFmtId="0" fontId="4" fillId="2" borderId="0" xfId="0" applyFont="1" applyFill="1" applyBorder="1"/>
    <xf numFmtId="2" fontId="10" fillId="4" borderId="0" xfId="0" applyNumberFormat="1" applyFont="1" applyFill="1" applyBorder="1"/>
    <xf numFmtId="0" fontId="0" fillId="2" borderId="4" xfId="0" applyFill="1" applyBorder="1"/>
    <xf numFmtId="0" fontId="0" fillId="2" borderId="13" xfId="0" applyFill="1" applyBorder="1"/>
    <xf numFmtId="0" fontId="15" fillId="2" borderId="0" xfId="0" applyFont="1" applyFill="1" applyBorder="1"/>
    <xf numFmtId="0" fontId="0" fillId="2" borderId="14" xfId="0" applyFill="1" applyBorder="1"/>
    <xf numFmtId="0" fontId="10" fillId="2" borderId="4" xfId="0" applyFont="1" applyFill="1" applyBorder="1"/>
    <xf numFmtId="2" fontId="0" fillId="2" borderId="0" xfId="0" applyNumberFormat="1" applyFill="1" applyBorder="1"/>
    <xf numFmtId="0" fontId="0" fillId="2" borderId="15" xfId="0" applyFill="1" applyBorder="1"/>
    <xf numFmtId="0" fontId="0" fillId="2" borderId="16" xfId="0" applyFill="1" applyBorder="1"/>
    <xf numFmtId="0" fontId="15" fillId="2" borderId="6" xfId="0" applyFont="1" applyFill="1" applyBorder="1"/>
    <xf numFmtId="0" fontId="0" fillId="2" borderId="17" xfId="0" applyFill="1" applyBorder="1"/>
    <xf numFmtId="0" fontId="13" fillId="2" borderId="0" xfId="0" applyFont="1" applyFill="1" applyBorder="1"/>
    <xf numFmtId="0" fontId="15" fillId="2" borderId="16" xfId="0" applyFont="1" applyFill="1" applyBorder="1"/>
    <xf numFmtId="0" fontId="0" fillId="2" borderId="18" xfId="0" applyFill="1" applyBorder="1"/>
    <xf numFmtId="0" fontId="0" fillId="2" borderId="19" xfId="0" applyFill="1" applyBorder="1"/>
    <xf numFmtId="0" fontId="15" fillId="2" borderId="0" xfId="0" applyFont="1" applyFill="1" applyAlignment="1">
      <alignment horizontal="right"/>
    </xf>
    <xf numFmtId="0" fontId="3" fillId="3" borderId="20" xfId="0" applyFont="1" applyFill="1" applyBorder="1"/>
    <xf numFmtId="0" fontId="13" fillId="3" borderId="21" xfId="0" applyFont="1" applyFill="1" applyBorder="1"/>
    <xf numFmtId="0" fontId="13" fillId="3" borderId="22" xfId="0" applyFont="1" applyFill="1" applyBorder="1"/>
    <xf numFmtId="165" fontId="10" fillId="2" borderId="0" xfId="0" applyNumberFormat="1" applyFont="1" applyFill="1" applyBorder="1"/>
    <xf numFmtId="2" fontId="4" fillId="4" borderId="13" xfId="0" applyNumberFormat="1" applyFont="1" applyFill="1" applyBorder="1"/>
    <xf numFmtId="0" fontId="15" fillId="2" borderId="0" xfId="0" applyFont="1" applyFill="1" applyBorder="1" applyAlignment="1"/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2" fontId="15" fillId="2" borderId="0" xfId="0" applyNumberFormat="1" applyFont="1" applyFill="1" applyBorder="1"/>
    <xf numFmtId="0" fontId="15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/>
    <xf numFmtId="0" fontId="16" fillId="3" borderId="23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4" borderId="9" xfId="0" applyFill="1" applyBorder="1" applyAlignment="1">
      <alignment horizontal="center"/>
    </xf>
    <xf numFmtId="0" fontId="0" fillId="2" borderId="27" xfId="0" applyFill="1" applyBorder="1"/>
    <xf numFmtId="164" fontId="0" fillId="4" borderId="9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2" fontId="15" fillId="2" borderId="0" xfId="0" applyNumberFormat="1" applyFont="1" applyFill="1" applyBorder="1" applyAlignment="1"/>
    <xf numFmtId="2" fontId="4" fillId="4" borderId="10" xfId="0" applyNumberFormat="1" applyFont="1" applyFill="1" applyBorder="1"/>
    <xf numFmtId="2" fontId="4" fillId="4" borderId="4" xfId="0" applyNumberFormat="1" applyFont="1" applyFill="1" applyBorder="1"/>
    <xf numFmtId="2" fontId="4" fillId="4" borderId="28" xfId="0" applyNumberFormat="1" applyFont="1" applyFill="1" applyBorder="1"/>
    <xf numFmtId="0" fontId="15" fillId="2" borderId="27" xfId="0" applyFont="1" applyFill="1" applyBorder="1"/>
    <xf numFmtId="0" fontId="15" fillId="2" borderId="5" xfId="0" applyFont="1" applyFill="1" applyBorder="1"/>
    <xf numFmtId="0" fontId="16" fillId="3" borderId="8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5" fillId="2" borderId="19" xfId="0" applyFont="1" applyFill="1" applyBorder="1"/>
    <xf numFmtId="0" fontId="0" fillId="3" borderId="11" xfId="0" applyFill="1" applyBorder="1"/>
    <xf numFmtId="2" fontId="0" fillId="4" borderId="28" xfId="0" applyNumberFormat="1" applyFill="1" applyBorder="1"/>
    <xf numFmtId="2" fontId="0" fillId="4" borderId="13" xfId="0" applyNumberFormat="1" applyFill="1" applyBorder="1"/>
    <xf numFmtId="0" fontId="8" fillId="2" borderId="20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3" fillId="3" borderId="9" xfId="0" applyFont="1" applyFill="1" applyBorder="1"/>
    <xf numFmtId="0" fontId="3" fillId="3" borderId="11" xfId="0" applyFont="1" applyFill="1" applyBorder="1"/>
    <xf numFmtId="0" fontId="3" fillId="3" borderId="30" xfId="0" applyFont="1" applyFill="1" applyBorder="1"/>
    <xf numFmtId="165" fontId="15" fillId="2" borderId="0" xfId="0" applyNumberFormat="1" applyFont="1" applyFill="1"/>
    <xf numFmtId="0" fontId="15" fillId="2" borderId="0" xfId="0" applyFont="1" applyFill="1" applyAlignment="1">
      <alignment horizontal="left"/>
    </xf>
    <xf numFmtId="0" fontId="4" fillId="2" borderId="3" xfId="0" applyFont="1" applyFill="1" applyBorder="1"/>
    <xf numFmtId="0" fontId="4" fillId="2" borderId="12" xfId="0" applyFont="1" applyFill="1" applyBorder="1"/>
    <xf numFmtId="0" fontId="13" fillId="3" borderId="3" xfId="0" applyFont="1" applyFill="1" applyBorder="1"/>
    <xf numFmtId="2" fontId="10" fillId="4" borderId="3" xfId="0" applyNumberFormat="1" applyFont="1" applyFill="1" applyBorder="1"/>
    <xf numFmtId="0" fontId="4" fillId="2" borderId="14" xfId="0" applyFont="1" applyFill="1" applyBorder="1"/>
    <xf numFmtId="0" fontId="13" fillId="3" borderId="0" xfId="0" applyFont="1" applyFill="1" applyBorder="1"/>
    <xf numFmtId="0" fontId="4" fillId="2" borderId="4" xfId="0" applyFont="1" applyFill="1" applyBorder="1"/>
    <xf numFmtId="0" fontId="3" fillId="3" borderId="31" xfId="0" applyFont="1" applyFill="1" applyBorder="1"/>
    <xf numFmtId="0" fontId="13" fillId="3" borderId="32" xfId="0" applyFont="1" applyFill="1" applyBorder="1"/>
    <xf numFmtId="0" fontId="10" fillId="2" borderId="33" xfId="0" applyFont="1" applyFill="1" applyBorder="1"/>
    <xf numFmtId="0" fontId="13" fillId="3" borderId="12" xfId="0" applyFont="1" applyFill="1" applyBorder="1"/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16" fillId="3" borderId="3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2" borderId="0" xfId="0" applyNumberFormat="1" applyFill="1" applyBorder="1" applyAlignment="1">
      <alignment horizontal="left"/>
    </xf>
    <xf numFmtId="2" fontId="0" fillId="2" borderId="16" xfId="0" applyNumberFormat="1" applyFill="1" applyBorder="1"/>
    <xf numFmtId="0" fontId="0" fillId="2" borderId="16" xfId="0" applyFill="1" applyBorder="1" applyAlignment="1">
      <alignment horizontal="left"/>
    </xf>
    <xf numFmtId="2" fontId="0" fillId="2" borderId="17" xfId="0" applyNumberFormat="1" applyFill="1" applyBorder="1"/>
    <xf numFmtId="0" fontId="15" fillId="4" borderId="3" xfId="0" applyFont="1" applyFill="1" applyBorder="1" applyAlignment="1"/>
    <xf numFmtId="2" fontId="15" fillId="4" borderId="23" xfId="0" applyNumberFormat="1" applyFont="1" applyFill="1" applyBorder="1" applyAlignment="1"/>
    <xf numFmtId="0" fontId="0" fillId="4" borderId="23" xfId="0" applyFill="1" applyBorder="1"/>
    <xf numFmtId="0" fontId="0" fillId="4" borderId="14" xfId="0" applyFill="1" applyBorder="1"/>
    <xf numFmtId="0" fontId="3" fillId="3" borderId="34" xfId="0" applyFont="1" applyFill="1" applyBorder="1"/>
    <xf numFmtId="0" fontId="3" fillId="3" borderId="31" xfId="0" applyFont="1" applyFill="1" applyBorder="1" applyAlignment="1">
      <alignment horizontal="center"/>
    </xf>
    <xf numFmtId="164" fontId="15" fillId="4" borderId="0" xfId="0" applyNumberFormat="1" applyFont="1" applyFill="1" applyBorder="1" applyAlignment="1"/>
    <xf numFmtId="164" fontId="15" fillId="4" borderId="10" xfId="0" applyNumberFormat="1" applyFont="1" applyFill="1" applyBorder="1" applyAlignment="1"/>
    <xf numFmtId="164" fontId="0" fillId="4" borderId="10" xfId="0" applyNumberFormat="1" applyFill="1" applyBorder="1"/>
    <xf numFmtId="164" fontId="0" fillId="4" borderId="4" xfId="0" applyNumberFormat="1" applyFill="1" applyBorder="1"/>
    <xf numFmtId="164" fontId="15" fillId="4" borderId="35" xfId="0" applyNumberFormat="1" applyFont="1" applyFill="1" applyBorder="1" applyAlignment="1"/>
    <xf numFmtId="164" fontId="15" fillId="4" borderId="36" xfId="0" applyNumberFormat="1" applyFont="1" applyFill="1" applyBorder="1" applyAlignment="1"/>
    <xf numFmtId="164" fontId="0" fillId="4" borderId="36" xfId="0" applyNumberFormat="1" applyFill="1" applyBorder="1"/>
    <xf numFmtId="164" fontId="0" fillId="4" borderId="37" xfId="0" applyNumberFormat="1" applyFill="1" applyBorder="1"/>
    <xf numFmtId="164" fontId="15" fillId="4" borderId="32" xfId="0" applyNumberFormat="1" applyFont="1" applyFill="1" applyBorder="1" applyAlignment="1"/>
    <xf numFmtId="164" fontId="15" fillId="4" borderId="38" xfId="0" applyNumberFormat="1" applyFont="1" applyFill="1" applyBorder="1" applyAlignment="1"/>
    <xf numFmtId="164" fontId="0" fillId="4" borderId="38" xfId="0" applyNumberFormat="1" applyFill="1" applyBorder="1"/>
    <xf numFmtId="164" fontId="0" fillId="4" borderId="33" xfId="0" applyNumberFormat="1" applyFill="1" applyBorder="1"/>
    <xf numFmtId="164" fontId="15" fillId="4" borderId="12" xfId="0" applyNumberFormat="1" applyFont="1" applyFill="1" applyBorder="1" applyAlignment="1"/>
    <xf numFmtId="164" fontId="15" fillId="4" borderId="28" xfId="0" applyNumberFormat="1" applyFont="1" applyFill="1" applyBorder="1" applyAlignment="1"/>
    <xf numFmtId="164" fontId="0" fillId="4" borderId="28" xfId="0" applyNumberFormat="1" applyFill="1" applyBorder="1"/>
    <xf numFmtId="164" fontId="0" fillId="4" borderId="13" xfId="0" applyNumberFormat="1" applyFill="1" applyBorder="1"/>
    <xf numFmtId="0" fontId="15" fillId="2" borderId="15" xfId="0" applyFont="1" applyFill="1" applyBorder="1"/>
    <xf numFmtId="0" fontId="15" fillId="2" borderId="17" xfId="0" applyFont="1" applyFill="1" applyBorder="1"/>
    <xf numFmtId="0" fontId="19" fillId="2" borderId="5" xfId="0" applyFont="1" applyFill="1" applyBorder="1"/>
    <xf numFmtId="0" fontId="15" fillId="2" borderId="18" xfId="0" applyFont="1" applyFill="1" applyBorder="1"/>
    <xf numFmtId="0" fontId="19" fillId="2" borderId="0" xfId="0" applyFont="1" applyFill="1" applyBorder="1"/>
    <xf numFmtId="0" fontId="3" fillId="3" borderId="0" xfId="0" applyFont="1" applyFill="1" applyBorder="1"/>
    <xf numFmtId="0" fontId="3" fillId="3" borderId="32" xfId="0" applyFont="1" applyFill="1" applyBorder="1"/>
    <xf numFmtId="0" fontId="3" fillId="3" borderId="12" xfId="0" applyFont="1" applyFill="1" applyBorder="1"/>
    <xf numFmtId="0" fontId="16" fillId="3" borderId="0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0" fillId="2" borderId="12" xfId="0" applyFill="1" applyBorder="1"/>
    <xf numFmtId="0" fontId="15" fillId="2" borderId="24" xfId="0" applyFont="1" applyFill="1" applyBorder="1"/>
    <xf numFmtId="0" fontId="15" fillId="2" borderId="25" xfId="0" applyFont="1" applyFill="1" applyBorder="1"/>
    <xf numFmtId="0" fontId="15" fillId="2" borderId="26" xfId="0" applyFont="1" applyFill="1" applyBorder="1"/>
    <xf numFmtId="0" fontId="21" fillId="2" borderId="0" xfId="0" applyFont="1" applyFill="1" applyBorder="1" applyAlignment="1">
      <alignment vertical="center" shrinkToFit="1"/>
    </xf>
    <xf numFmtId="0" fontId="20" fillId="2" borderId="0" xfId="0" applyFont="1" applyFill="1" applyBorder="1" applyAlignment="1">
      <alignment horizontal="center" vertical="center" shrinkToFit="1"/>
    </xf>
    <xf numFmtId="0" fontId="7" fillId="2" borderId="8" xfId="0" applyFont="1" applyFill="1" applyBorder="1"/>
    <xf numFmtId="0" fontId="15" fillId="2" borderId="3" xfId="0" applyFont="1" applyFill="1" applyBorder="1"/>
    <xf numFmtId="0" fontId="15" fillId="2" borderId="14" xfId="0" applyFont="1" applyFill="1" applyBorder="1"/>
    <xf numFmtId="0" fontId="15" fillId="2" borderId="9" xfId="0" applyFont="1" applyFill="1" applyBorder="1"/>
    <xf numFmtId="0" fontId="15" fillId="2" borderId="4" xfId="0" applyFont="1" applyFill="1" applyBorder="1"/>
    <xf numFmtId="0" fontId="8" fillId="2" borderId="11" xfId="0" applyFont="1" applyFill="1" applyBorder="1"/>
    <xf numFmtId="0" fontId="15" fillId="2" borderId="12" xfId="0" applyFont="1" applyFill="1" applyBorder="1"/>
    <xf numFmtId="0" fontId="15" fillId="2" borderId="13" xfId="0" applyFont="1" applyFill="1" applyBorder="1"/>
    <xf numFmtId="1" fontId="8" fillId="2" borderId="39" xfId="0" applyNumberFormat="1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2" fontId="0" fillId="2" borderId="41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42" xfId="0" applyNumberForma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2" fontId="10" fillId="4" borderId="32" xfId="0" applyNumberFormat="1" applyFont="1" applyFill="1" applyBorder="1"/>
    <xf numFmtId="0" fontId="15" fillId="2" borderId="43" xfId="0" applyFont="1" applyFill="1" applyBorder="1"/>
    <xf numFmtId="2" fontId="10" fillId="4" borderId="12" xfId="0" applyNumberFormat="1" applyFont="1" applyFill="1" applyBorder="1"/>
    <xf numFmtId="2" fontId="0" fillId="2" borderId="24" xfId="0" applyNumberFormat="1" applyFill="1" applyBorder="1" applyAlignment="1">
      <alignment horizontal="center"/>
    </xf>
    <xf numFmtId="2" fontId="0" fillId="2" borderId="40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15" fillId="4" borderId="28" xfId="0" applyNumberFormat="1" applyFont="1" applyFill="1" applyBorder="1" applyAlignment="1">
      <alignment horizontal="center"/>
    </xf>
    <xf numFmtId="2" fontId="0" fillId="4" borderId="28" xfId="0" applyNumberFormat="1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0" fontId="15" fillId="2" borderId="40" xfId="0" applyFont="1" applyFill="1" applyBorder="1"/>
    <xf numFmtId="2" fontId="15" fillId="2" borderId="5" xfId="0" applyNumberFormat="1" applyFont="1" applyFill="1" applyBorder="1"/>
    <xf numFmtId="2" fontId="15" fillId="2" borderId="6" xfId="0" applyNumberFormat="1" applyFont="1" applyFill="1" applyBorder="1"/>
    <xf numFmtId="0" fontId="11" fillId="2" borderId="27" xfId="0" applyFont="1" applyFill="1" applyBorder="1" applyAlignment="1"/>
    <xf numFmtId="0" fontId="11" fillId="2" borderId="18" xfId="0" applyFont="1" applyFill="1" applyBorder="1" applyAlignment="1"/>
    <xf numFmtId="0" fontId="21" fillId="2" borderId="0" xfId="0" applyFont="1" applyFill="1" applyBorder="1" applyAlignment="1">
      <alignment vertical="center"/>
    </xf>
    <xf numFmtId="2" fontId="0" fillId="2" borderId="44" xfId="0" applyNumberFormat="1" applyFill="1" applyBorder="1" applyAlignment="1">
      <alignment horizontal="center"/>
    </xf>
    <xf numFmtId="2" fontId="0" fillId="2" borderId="45" xfId="0" applyNumberFormat="1" applyFill="1" applyBorder="1" applyAlignment="1">
      <alignment horizontal="center"/>
    </xf>
    <xf numFmtId="2" fontId="0" fillId="2" borderId="46" xfId="0" applyNumberFormat="1" applyFill="1" applyBorder="1" applyAlignment="1">
      <alignment horizontal="center"/>
    </xf>
    <xf numFmtId="2" fontId="0" fillId="2" borderId="43" xfId="0" applyNumberFormat="1" applyFill="1" applyBorder="1" applyAlignment="1">
      <alignment horizontal="center"/>
    </xf>
    <xf numFmtId="2" fontId="15" fillId="2" borderId="18" xfId="0" applyNumberFormat="1" applyFont="1" applyFill="1" applyBorder="1" applyAlignment="1"/>
    <xf numFmtId="2" fontId="15" fillId="2" borderId="19" xfId="0" applyNumberFormat="1" applyFont="1" applyFill="1" applyBorder="1" applyAlignment="1"/>
    <xf numFmtId="0" fontId="11" fillId="2" borderId="47" xfId="0" applyFont="1" applyFill="1" applyBorder="1" applyAlignment="1"/>
    <xf numFmtId="0" fontId="11" fillId="2" borderId="43" xfId="0" applyFont="1" applyFill="1" applyBorder="1" applyAlignment="1"/>
    <xf numFmtId="2" fontId="15" fillId="2" borderId="43" xfId="0" applyNumberFormat="1" applyFont="1" applyFill="1" applyBorder="1" applyAlignment="1"/>
    <xf numFmtId="2" fontId="15" fillId="2" borderId="48" xfId="0" applyNumberFormat="1" applyFont="1" applyFill="1" applyBorder="1" applyAlignment="1"/>
    <xf numFmtId="0" fontId="15" fillId="5" borderId="0" xfId="0" applyFont="1" applyFill="1" applyBorder="1"/>
    <xf numFmtId="0" fontId="8" fillId="5" borderId="49" xfId="0" applyFont="1" applyFill="1" applyBorder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51" xfId="0" applyFont="1" applyFill="1" applyBorder="1" applyAlignment="1">
      <alignment horizontal="center"/>
    </xf>
    <xf numFmtId="0" fontId="8" fillId="5" borderId="52" xfId="0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0" fontId="8" fillId="5" borderId="54" xfId="0" applyFont="1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164" fontId="0" fillId="2" borderId="55" xfId="0" applyNumberFormat="1" applyFill="1" applyBorder="1" applyAlignment="1">
      <alignment horizontal="center"/>
    </xf>
    <xf numFmtId="164" fontId="0" fillId="2" borderId="52" xfId="0" applyNumberFormat="1" applyFill="1" applyBorder="1" applyAlignment="1">
      <alignment horizontal="center"/>
    </xf>
    <xf numFmtId="2" fontId="15" fillId="2" borderId="51" xfId="0" applyNumberFormat="1" applyFont="1" applyFill="1" applyBorder="1" applyAlignment="1">
      <alignment horizontal="center"/>
    </xf>
    <xf numFmtId="2" fontId="15" fillId="2" borderId="56" xfId="0" applyNumberFormat="1" applyFont="1" applyFill="1" applyBorder="1" applyAlignment="1">
      <alignment horizontal="center"/>
    </xf>
    <xf numFmtId="2" fontId="15" fillId="2" borderId="54" xfId="0" applyNumberFormat="1" applyFont="1" applyFill="1" applyBorder="1" applyAlignment="1">
      <alignment horizontal="center"/>
    </xf>
    <xf numFmtId="0" fontId="8" fillId="5" borderId="49" xfId="0" applyFont="1" applyFill="1" applyBorder="1" applyAlignment="1">
      <alignment horizontal="left"/>
    </xf>
    <xf numFmtId="0" fontId="8" fillId="5" borderId="55" xfId="0" applyFont="1" applyFill="1" applyBorder="1" applyAlignment="1">
      <alignment horizontal="left"/>
    </xf>
    <xf numFmtId="0" fontId="8" fillId="5" borderId="52" xfId="0" applyFont="1" applyFill="1" applyBorder="1" applyAlignment="1">
      <alignment horizontal="left"/>
    </xf>
    <xf numFmtId="0" fontId="8" fillId="5" borderId="49" xfId="0" applyFont="1" applyFill="1" applyBorder="1"/>
    <xf numFmtId="0" fontId="15" fillId="5" borderId="50" xfId="0" applyFont="1" applyFill="1" applyBorder="1"/>
    <xf numFmtId="0" fontId="8" fillId="5" borderId="55" xfId="0" applyFont="1" applyFill="1" applyBorder="1"/>
    <xf numFmtId="0" fontId="9" fillId="5" borderId="55" xfId="0" applyFont="1" applyFill="1" applyBorder="1"/>
    <xf numFmtId="0" fontId="9" fillId="5" borderId="52" xfId="0" applyFont="1" applyFill="1" applyBorder="1"/>
    <xf numFmtId="0" fontId="15" fillId="5" borderId="53" xfId="0" applyFont="1" applyFill="1" applyBorder="1"/>
    <xf numFmtId="0" fontId="15" fillId="2" borderId="50" xfId="0" applyFont="1" applyFill="1" applyBorder="1"/>
    <xf numFmtId="0" fontId="15" fillId="2" borderId="51" xfId="0" applyFont="1" applyFill="1" applyBorder="1"/>
    <xf numFmtId="2" fontId="15" fillId="2" borderId="57" xfId="0" applyNumberFormat="1" applyFont="1" applyFill="1" applyBorder="1"/>
    <xf numFmtId="0" fontId="15" fillId="2" borderId="56" xfId="0" applyFont="1" applyFill="1" applyBorder="1"/>
    <xf numFmtId="0" fontId="15" fillId="2" borderId="54" xfId="0" applyFont="1" applyFill="1" applyBorder="1"/>
    <xf numFmtId="2" fontId="15" fillId="2" borderId="50" xfId="0" applyNumberFormat="1" applyFont="1" applyFill="1" applyBorder="1"/>
    <xf numFmtId="2" fontId="15" fillId="2" borderId="53" xfId="0" applyNumberFormat="1" applyFont="1" applyFill="1" applyBorder="1"/>
    <xf numFmtId="0" fontId="15" fillId="2" borderId="53" xfId="0" applyFont="1" applyFill="1" applyBorder="1"/>
    <xf numFmtId="2" fontId="0" fillId="2" borderId="58" xfId="0" applyNumberFormat="1" applyFill="1" applyBorder="1" applyAlignment="1">
      <alignment horizontal="center"/>
    </xf>
    <xf numFmtId="2" fontId="0" fillId="2" borderId="47" xfId="0" applyNumberFormat="1" applyFill="1" applyBorder="1" applyAlignment="1">
      <alignment horizontal="center"/>
    </xf>
    <xf numFmtId="2" fontId="0" fillId="2" borderId="48" xfId="0" applyNumberFormat="1" applyFill="1" applyBorder="1" applyAlignment="1">
      <alignment horizontal="center"/>
    </xf>
    <xf numFmtId="2" fontId="0" fillId="2" borderId="59" xfId="0" applyNumberFormat="1" applyFill="1" applyBorder="1" applyAlignment="1">
      <alignment horizontal="center"/>
    </xf>
    <xf numFmtId="0" fontId="8" fillId="2" borderId="0" xfId="0" applyFont="1" applyFill="1"/>
    <xf numFmtId="0" fontId="0" fillId="2" borderId="7" xfId="0" applyFill="1" applyBorder="1"/>
    <xf numFmtId="0" fontId="26" fillId="2" borderId="0" xfId="0" applyFont="1" applyFill="1"/>
    <xf numFmtId="0" fontId="2" fillId="2" borderId="2" xfId="1" applyFill="1" applyBorder="1" applyAlignment="1" applyProtection="1">
      <alignment horizontal="center"/>
    </xf>
    <xf numFmtId="0" fontId="0" fillId="2" borderId="1" xfId="0" applyFill="1" applyBorder="1"/>
    <xf numFmtId="0" fontId="4" fillId="6" borderId="60" xfId="0" applyFont="1" applyFill="1" applyBorder="1" applyProtection="1">
      <protection locked="0"/>
    </xf>
    <xf numFmtId="0" fontId="4" fillId="6" borderId="61" xfId="0" applyFont="1" applyFill="1" applyBorder="1" applyProtection="1">
      <protection locked="0"/>
    </xf>
    <xf numFmtId="2" fontId="4" fillId="6" borderId="10" xfId="0" applyNumberFormat="1" applyFont="1" applyFill="1" applyBorder="1" applyProtection="1">
      <protection locked="0"/>
    </xf>
    <xf numFmtId="2" fontId="4" fillId="6" borderId="4" xfId="0" applyNumberFormat="1" applyFont="1" applyFill="1" applyBorder="1" applyProtection="1">
      <protection locked="0"/>
    </xf>
    <xf numFmtId="2" fontId="4" fillId="6" borderId="28" xfId="0" applyNumberFormat="1" applyFont="1" applyFill="1" applyBorder="1" applyProtection="1">
      <protection locked="0"/>
    </xf>
    <xf numFmtId="2" fontId="4" fillId="6" borderId="13" xfId="0" applyNumberFormat="1" applyFont="1" applyFill="1" applyBorder="1" applyProtection="1">
      <protection locked="0"/>
    </xf>
    <xf numFmtId="2" fontId="4" fillId="6" borderId="23" xfId="0" applyNumberFormat="1" applyFont="1" applyFill="1" applyBorder="1" applyProtection="1">
      <protection locked="0"/>
    </xf>
    <xf numFmtId="2" fontId="4" fillId="6" borderId="14" xfId="0" applyNumberFormat="1" applyFont="1" applyFill="1" applyBorder="1" applyProtection="1">
      <protection locked="0"/>
    </xf>
    <xf numFmtId="0" fontId="1" fillId="2" borderId="0" xfId="4" applyFill="1"/>
    <xf numFmtId="0" fontId="1" fillId="2" borderId="0" xfId="4" applyFill="1" applyAlignment="1">
      <alignment shrinkToFit="1"/>
    </xf>
    <xf numFmtId="0" fontId="1" fillId="2" borderId="0" xfId="4" applyFill="1" applyAlignment="1">
      <alignment horizontal="center"/>
    </xf>
    <xf numFmtId="0" fontId="28" fillId="2" borderId="0" xfId="4" applyFont="1" applyFill="1"/>
    <xf numFmtId="0" fontId="29" fillId="2" borderId="0" xfId="2" applyFont="1" applyFill="1" applyAlignment="1" applyProtection="1"/>
    <xf numFmtId="0" fontId="30" fillId="2" borderId="0" xfId="4" applyFont="1" applyFill="1"/>
    <xf numFmtId="0" fontId="31" fillId="2" borderId="0" xfId="4" applyFont="1" applyFill="1"/>
    <xf numFmtId="0" fontId="32" fillId="2" borderId="0" xfId="4" applyFont="1" applyFill="1" applyAlignment="1">
      <alignment horizontal="justify"/>
    </xf>
    <xf numFmtId="0" fontId="1" fillId="2" borderId="0" xfId="4" applyFill="1" applyAlignment="1">
      <alignment horizontal="justify"/>
    </xf>
    <xf numFmtId="0" fontId="33" fillId="2" borderId="0" xfId="4" applyFont="1" applyFill="1" applyAlignment="1">
      <alignment horizontal="justify"/>
    </xf>
    <xf numFmtId="0" fontId="34" fillId="2" borderId="0" xfId="4" applyFont="1" applyFill="1" applyAlignment="1">
      <alignment horizontal="justify"/>
    </xf>
    <xf numFmtId="0" fontId="35" fillId="2" borderId="0" xfId="4" applyFont="1" applyFill="1" applyAlignment="1">
      <alignment horizontal="justify"/>
    </xf>
    <xf numFmtId="0" fontId="36" fillId="2" borderId="0" xfId="4" applyFont="1" applyFill="1" applyAlignment="1">
      <alignment horizontal="justify"/>
    </xf>
    <xf numFmtId="0" fontId="40" fillId="2" borderId="0" xfId="4" applyFont="1" applyFill="1" applyAlignment="1">
      <alignment horizontal="justify"/>
    </xf>
    <xf numFmtId="0" fontId="37" fillId="2" borderId="0" xfId="4" applyFont="1" applyFill="1" applyAlignment="1">
      <alignment horizontal="justify"/>
    </xf>
    <xf numFmtId="0" fontId="45" fillId="2" borderId="0" xfId="4" applyFont="1" applyFill="1" applyAlignment="1">
      <alignment horizontal="justify"/>
    </xf>
    <xf numFmtId="0" fontId="46" fillId="2" borderId="0" xfId="4" applyFont="1" applyFill="1" applyAlignment="1">
      <alignment horizontal="justify"/>
    </xf>
    <xf numFmtId="0" fontId="27" fillId="2" borderId="0" xfId="2" applyFont="1" applyFill="1" applyAlignment="1" applyProtection="1">
      <alignment horizontal="justify"/>
    </xf>
    <xf numFmtId="0" fontId="47" fillId="2" borderId="0" xfId="4" applyFont="1" applyFill="1" applyAlignment="1">
      <alignment horizontal="justify"/>
    </xf>
    <xf numFmtId="0" fontId="48" fillId="2" borderId="0" xfId="4" applyFont="1" applyFill="1" applyAlignment="1">
      <alignment horizontal="justify"/>
    </xf>
    <xf numFmtId="0" fontId="50" fillId="2" borderId="0" xfId="4" applyFont="1" applyFill="1" applyAlignment="1">
      <alignment horizontal="justify"/>
    </xf>
    <xf numFmtId="0" fontId="51" fillId="2" borderId="0" xfId="4" applyFont="1" applyFill="1" applyAlignment="1">
      <alignment horizontal="justify"/>
    </xf>
    <xf numFmtId="0" fontId="28" fillId="2" borderId="0" xfId="4" applyFont="1" applyFill="1" applyAlignment="1">
      <alignment horizontal="center"/>
    </xf>
    <xf numFmtId="0" fontId="29" fillId="2" borderId="0" xfId="2" applyFont="1" applyFill="1" applyAlignment="1" applyProtection="1">
      <alignment horizontal="center"/>
    </xf>
    <xf numFmtId="0" fontId="1" fillId="2" borderId="0" xfId="4" applyFont="1" applyFill="1" applyAlignment="1">
      <alignment shrinkToFit="1"/>
    </xf>
    <xf numFmtId="0" fontId="3" fillId="3" borderId="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3" fillId="2" borderId="8" xfId="0" applyFont="1" applyFill="1" applyBorder="1" applyAlignment="1">
      <alignment horizontal="justify"/>
    </xf>
    <xf numFmtId="0" fontId="23" fillId="2" borderId="14" xfId="0" applyFont="1" applyFill="1" applyBorder="1" applyAlignment="1">
      <alignment horizontal="justify"/>
    </xf>
    <xf numFmtId="0" fontId="23" fillId="2" borderId="9" xfId="0" applyFont="1" applyFill="1" applyBorder="1" applyAlignment="1">
      <alignment horizontal="justify"/>
    </xf>
    <xf numFmtId="0" fontId="23" fillId="2" borderId="4" xfId="0" applyFont="1" applyFill="1" applyBorder="1" applyAlignment="1">
      <alignment horizontal="justify"/>
    </xf>
    <xf numFmtId="0" fontId="23" fillId="2" borderId="11" xfId="0" applyFont="1" applyFill="1" applyBorder="1" applyAlignment="1">
      <alignment horizontal="justify"/>
    </xf>
    <xf numFmtId="0" fontId="23" fillId="2" borderId="13" xfId="0" applyFont="1" applyFill="1" applyBorder="1" applyAlignment="1">
      <alignment horizontal="justify"/>
    </xf>
    <xf numFmtId="0" fontId="10" fillId="4" borderId="2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justify"/>
    </xf>
    <xf numFmtId="0" fontId="11" fillId="2" borderId="14" xfId="0" applyFont="1" applyFill="1" applyBorder="1" applyAlignment="1">
      <alignment horizontal="justify"/>
    </xf>
    <xf numFmtId="0" fontId="11" fillId="2" borderId="9" xfId="0" applyFont="1" applyFill="1" applyBorder="1" applyAlignment="1">
      <alignment horizontal="justify"/>
    </xf>
    <xf numFmtId="0" fontId="11" fillId="2" borderId="4" xfId="0" applyFont="1" applyFill="1" applyBorder="1" applyAlignment="1">
      <alignment horizontal="justify"/>
    </xf>
    <xf numFmtId="0" fontId="11" fillId="2" borderId="11" xfId="0" applyFont="1" applyFill="1" applyBorder="1" applyAlignment="1">
      <alignment horizontal="justify"/>
    </xf>
    <xf numFmtId="0" fontId="11" fillId="2" borderId="13" xfId="0" applyFont="1" applyFill="1" applyBorder="1" applyAlignment="1">
      <alignment horizontal="justify"/>
    </xf>
    <xf numFmtId="0" fontId="11" fillId="2" borderId="7" xfId="0" applyFont="1" applyFill="1" applyBorder="1" applyAlignment="1">
      <alignment horizontal="justify"/>
    </xf>
    <xf numFmtId="0" fontId="11" fillId="2" borderId="2" xfId="0" applyFont="1" applyFill="1" applyBorder="1" applyAlignment="1">
      <alignment horizontal="justify"/>
    </xf>
    <xf numFmtId="0" fontId="11" fillId="2" borderId="1" xfId="0" applyFont="1" applyFill="1" applyBorder="1" applyAlignment="1">
      <alignment horizontal="justify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justify"/>
    </xf>
    <xf numFmtId="0" fontId="12" fillId="2" borderId="2" xfId="0" applyFont="1" applyFill="1" applyBorder="1" applyAlignment="1">
      <alignment horizontal="justify"/>
    </xf>
    <xf numFmtId="0" fontId="12" fillId="2" borderId="1" xfId="0" applyFont="1" applyFill="1" applyBorder="1" applyAlignment="1">
      <alignment horizontal="justify"/>
    </xf>
    <xf numFmtId="0" fontId="9" fillId="2" borderId="8" xfId="0" applyFont="1" applyFill="1" applyBorder="1" applyAlignment="1">
      <alignment horizontal="justify"/>
    </xf>
    <xf numFmtId="0" fontId="9" fillId="2" borderId="3" xfId="0" applyFont="1" applyFill="1" applyBorder="1" applyAlignment="1">
      <alignment horizontal="justify"/>
    </xf>
    <xf numFmtId="0" fontId="9" fillId="2" borderId="14" xfId="0" applyFont="1" applyFill="1" applyBorder="1" applyAlignment="1">
      <alignment horizontal="justify"/>
    </xf>
    <xf numFmtId="0" fontId="9" fillId="2" borderId="11" xfId="0" applyFont="1" applyFill="1" applyBorder="1" applyAlignment="1">
      <alignment horizontal="justify"/>
    </xf>
    <xf numFmtId="0" fontId="9" fillId="2" borderId="12" xfId="0" applyFont="1" applyFill="1" applyBorder="1" applyAlignment="1">
      <alignment horizontal="justify"/>
    </xf>
    <xf numFmtId="0" fontId="9" fillId="2" borderId="13" xfId="0" applyFont="1" applyFill="1" applyBorder="1" applyAlignment="1">
      <alignment horizontal="justify"/>
    </xf>
    <xf numFmtId="0" fontId="10" fillId="4" borderId="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justify"/>
    </xf>
    <xf numFmtId="0" fontId="9" fillId="2" borderId="2" xfId="0" applyFont="1" applyFill="1" applyBorder="1" applyAlignment="1">
      <alignment horizontal="justify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15" fillId="2" borderId="8" xfId="0" applyFont="1" applyFill="1" applyBorder="1"/>
    <xf numFmtId="0" fontId="15" fillId="2" borderId="3" xfId="0" applyFont="1" applyFill="1" applyBorder="1"/>
    <xf numFmtId="0" fontId="15" fillId="2" borderId="14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62" xfId="0" applyFont="1" applyFill="1" applyBorder="1" applyAlignment="1">
      <alignment horizontal="center"/>
    </xf>
    <xf numFmtId="0" fontId="8" fillId="2" borderId="63" xfId="0" applyFont="1" applyFill="1" applyBorder="1" applyAlignment="1">
      <alignment horizontal="center"/>
    </xf>
    <xf numFmtId="0" fontId="8" fillId="2" borderId="64" xfId="0" applyFont="1" applyFill="1" applyBorder="1" applyAlignment="1">
      <alignment horizont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5" fillId="2" borderId="51" xfId="0" applyFont="1" applyFill="1" applyBorder="1"/>
    <xf numFmtId="0" fontId="8" fillId="2" borderId="52" xfId="0" applyFont="1" applyFill="1" applyBorder="1"/>
    <xf numFmtId="0" fontId="8" fillId="2" borderId="53" xfId="0" applyFont="1" applyFill="1" applyBorder="1"/>
    <xf numFmtId="0" fontId="8" fillId="2" borderId="54" xfId="0" applyFont="1" applyFill="1" applyBorder="1"/>
    <xf numFmtId="0" fontId="22" fillId="5" borderId="49" xfId="0" applyFont="1" applyFill="1" applyBorder="1" applyAlignment="1">
      <alignment horizontal="center" vertical="center"/>
    </xf>
    <xf numFmtId="0" fontId="22" fillId="5" borderId="50" xfId="0" applyFont="1" applyFill="1" applyBorder="1" applyAlignment="1">
      <alignment horizontal="center" vertical="center"/>
    </xf>
    <xf numFmtId="0" fontId="22" fillId="5" borderId="51" xfId="0" applyFont="1" applyFill="1" applyBorder="1" applyAlignment="1">
      <alignment horizontal="center" vertical="center"/>
    </xf>
    <xf numFmtId="0" fontId="22" fillId="5" borderId="55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/>
    </xf>
    <xf numFmtId="0" fontId="22" fillId="5" borderId="52" xfId="0" applyFont="1" applyFill="1" applyBorder="1" applyAlignment="1">
      <alignment horizontal="center" vertical="center"/>
    </xf>
    <xf numFmtId="0" fontId="22" fillId="5" borderId="53" xfId="0" applyFont="1" applyFill="1" applyBorder="1" applyAlignment="1">
      <alignment horizontal="center" vertical="center"/>
    </xf>
    <xf numFmtId="0" fontId="22" fillId="5" borderId="54" xfId="0" applyFont="1" applyFill="1" applyBorder="1" applyAlignment="1">
      <alignment horizontal="center" vertical="center"/>
    </xf>
    <xf numFmtId="0" fontId="27" fillId="2" borderId="0" xfId="2" applyFill="1" applyAlignment="1" applyProtection="1">
      <alignment horizontal="center"/>
    </xf>
    <xf numFmtId="0" fontId="1" fillId="2" borderId="0" xfId="4" applyFill="1" applyAlignment="1">
      <alignment horizontal="center"/>
    </xf>
  </cellXfs>
  <cellStyles count="5">
    <cellStyle name="Hipervínculo" xfId="1" builtinId="8"/>
    <cellStyle name="Hipervínculo_LimitesGranulometriaSUCS" xfId="2"/>
    <cellStyle name="Normal" xfId="0" builtinId="0"/>
    <cellStyle name="Normal 2" xfId="3"/>
    <cellStyle name="Normal_LimitesGranulometriaSUCS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Granulometría</a:t>
            </a:r>
          </a:p>
        </c:rich>
      </c:tx>
      <c:layout>
        <c:manualLayout>
          <c:xMode val="edge"/>
          <c:yMode val="edge"/>
          <c:x val="0.39743589743589741"/>
          <c:y val="3.7931034482758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94052763698508"/>
          <c:y val="0.20344827586206896"/>
          <c:w val="0.76709561777097057"/>
          <c:h val="0.5793103448275862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xVal>
            <c:numRef>
              <c:f>Clasificación!$B$4:$B$19</c:f>
              <c:numCache>
                <c:formatCode>General</c:formatCode>
                <c:ptCount val="16"/>
                <c:pt idx="0">
                  <c:v>100</c:v>
                </c:pt>
                <c:pt idx="1">
                  <c:v>80</c:v>
                </c:pt>
                <c:pt idx="2">
                  <c:v>63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20</c:v>
                </c:pt>
                <c:pt idx="7">
                  <c:v>12.5</c:v>
                </c:pt>
                <c:pt idx="8">
                  <c:v>10</c:v>
                </c:pt>
                <c:pt idx="9">
                  <c:v>6.3</c:v>
                </c:pt>
                <c:pt idx="10">
                  <c:v>5</c:v>
                </c:pt>
                <c:pt idx="11">
                  <c:v>2</c:v>
                </c:pt>
                <c:pt idx="12">
                  <c:v>1.25</c:v>
                </c:pt>
                <c:pt idx="13">
                  <c:v>0.4</c:v>
                </c:pt>
                <c:pt idx="14" formatCode="0.000">
                  <c:v>0.16</c:v>
                </c:pt>
                <c:pt idx="15" formatCode="0.000">
                  <c:v>0.08</c:v>
                </c:pt>
              </c:numCache>
            </c:numRef>
          </c:xVal>
          <c:yVal>
            <c:numRef>
              <c:f>Clasificación!$D$4:$D$19</c:f>
              <c:numCache>
                <c:formatCode>0.00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97.57709251101322</c:v>
                </c:pt>
                <c:pt idx="5">
                  <c:v>95.594713656387668</c:v>
                </c:pt>
                <c:pt idx="6">
                  <c:v>89.867841409691636</c:v>
                </c:pt>
                <c:pt idx="7">
                  <c:v>82.378854625550673</c:v>
                </c:pt>
                <c:pt idx="8">
                  <c:v>74.889867841409711</c:v>
                </c:pt>
                <c:pt idx="9">
                  <c:v>67.400881057268748</c:v>
                </c:pt>
                <c:pt idx="10">
                  <c:v>61.89427312775333</c:v>
                </c:pt>
                <c:pt idx="11">
                  <c:v>47.123823788546268</c:v>
                </c:pt>
                <c:pt idx="12">
                  <c:v>41.998977973568302</c:v>
                </c:pt>
                <c:pt idx="13">
                  <c:v>38.186290748898692</c:v>
                </c:pt>
                <c:pt idx="14">
                  <c:v>33.378343612334817</c:v>
                </c:pt>
                <c:pt idx="15">
                  <c:v>28.69913656387666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763864"/>
        <c:axId val="243763080"/>
      </c:scatterChart>
      <c:valAx>
        <c:axId val="243763864"/>
        <c:scaling>
          <c:logBase val="10"/>
          <c:orientation val="maxMin"/>
          <c:max val="100"/>
          <c:min val="1E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Tamiz (mm)</a:t>
                </a:r>
              </a:p>
            </c:rich>
          </c:tx>
          <c:layout>
            <c:manualLayout>
              <c:xMode val="edge"/>
              <c:yMode val="edge"/>
              <c:x val="0.47863337595621058"/>
              <c:y val="0.875862068965517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3763080"/>
        <c:crosses val="autoZero"/>
        <c:crossBetween val="midCat"/>
        <c:majorUnit val="10"/>
        <c:minorUnit val="10"/>
      </c:valAx>
      <c:valAx>
        <c:axId val="24376308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Pasa (%)</a:t>
                </a:r>
              </a:p>
            </c:rich>
          </c:tx>
          <c:layout>
            <c:manualLayout>
              <c:xMode val="edge"/>
              <c:yMode val="edge"/>
              <c:x val="3.4188034188034191E-2"/>
              <c:y val="0.406896551724137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3763864"/>
        <c:crosses val="max"/>
        <c:crossBetween val="midCat"/>
        <c:majorUnit val="1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55" verticalDpi="46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Ábaco de Casagrande</a:t>
            </a:r>
          </a:p>
        </c:rich>
      </c:tx>
      <c:layout>
        <c:manualLayout>
          <c:xMode val="edge"/>
          <c:yMode val="edge"/>
          <c:x val="0.33119658119658119"/>
          <c:y val="3.4582132564841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6863913227651"/>
          <c:y val="0.1930835734870317"/>
          <c:w val="0.82051453265752838"/>
          <c:h val="0.62536023054755041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Clasificación!$D$58:$D$59</c:f>
              <c:numCache>
                <c:formatCode>General</c:formatCode>
                <c:ptCount val="2"/>
                <c:pt idx="0">
                  <c:v>25.48</c:v>
                </c:pt>
                <c:pt idx="1">
                  <c:v>100</c:v>
                </c:pt>
              </c:numCache>
            </c:numRef>
          </c:xVal>
          <c:yVal>
            <c:numRef>
              <c:f>Clasificación!$E$58:$E$59</c:f>
              <c:numCache>
                <c:formatCode>0.00</c:formatCode>
                <c:ptCount val="2"/>
                <c:pt idx="0">
                  <c:v>4.0004</c:v>
                </c:pt>
                <c:pt idx="1">
                  <c:v>58.4</c:v>
                </c:pt>
              </c:numCache>
            </c:numRef>
          </c:yVal>
          <c:smooth val="1"/>
        </c:ser>
        <c:ser>
          <c:idx val="2"/>
          <c:order val="1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Clasificación!$B$61:$B$62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Clasificación!$D$61:$D$62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1"/>
        </c:ser>
        <c:ser>
          <c:idx val="3"/>
          <c:order val="2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Clasificación!$D$57:$D$59</c:f>
              <c:numCache>
                <c:formatCode>General</c:formatCode>
                <c:ptCount val="3"/>
                <c:pt idx="0">
                  <c:v>0</c:v>
                </c:pt>
                <c:pt idx="1">
                  <c:v>25.48</c:v>
                </c:pt>
                <c:pt idx="2">
                  <c:v>100</c:v>
                </c:pt>
              </c:numCache>
            </c:numRef>
          </c:xVal>
          <c:yVal>
            <c:numRef>
              <c:f>Clasificación!$B$57:$B$59</c:f>
              <c:numCache>
                <c:formatCode>General</c:formatCode>
                <c:ptCount val="3"/>
                <c:pt idx="0">
                  <c:v>-7.2</c:v>
                </c:pt>
                <c:pt idx="1">
                  <c:v>15.732000000000001</c:v>
                </c:pt>
                <c:pt idx="2">
                  <c:v>82.8</c:v>
                </c:pt>
              </c:numCache>
            </c:numRef>
          </c:yVal>
          <c:smooth val="1"/>
        </c:ser>
        <c:ser>
          <c:idx val="4"/>
          <c:order val="3"/>
          <c:spPr>
            <a:ln w="25400">
              <a:solidFill>
                <a:srgbClr val="333399"/>
              </a:solidFill>
              <a:prstDash val="sysDash"/>
            </a:ln>
          </c:spPr>
          <c:marker>
            <c:symbol val="none"/>
          </c:marker>
          <c:xVal>
            <c:numRef>
              <c:f>Clasificación!$E$64:$E$65</c:f>
              <c:numCache>
                <c:formatCode>General</c:formatCode>
                <c:ptCount val="2"/>
                <c:pt idx="0">
                  <c:v>20</c:v>
                </c:pt>
                <c:pt idx="1">
                  <c:v>25.48</c:v>
                </c:pt>
              </c:numCache>
            </c:numRef>
          </c:xVal>
          <c:yVal>
            <c:numRef>
              <c:f>Clasificación!$F$64:$F$65</c:f>
              <c:numCache>
                <c:formatCode>0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  <c:smooth val="1"/>
        </c:ser>
        <c:ser>
          <c:idx val="5"/>
          <c:order val="4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Clasificación!$F$61:$F$62</c:f>
              <c:numCache>
                <c:formatCode>General</c:formatCode>
                <c:ptCount val="2"/>
                <c:pt idx="0">
                  <c:v>10</c:v>
                </c:pt>
                <c:pt idx="1">
                  <c:v>25</c:v>
                </c:pt>
              </c:numCache>
            </c:numRef>
          </c:xVal>
          <c:yVal>
            <c:numRef>
              <c:f>Clasificación!$E$61:$E$62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1"/>
        </c:ser>
        <c:ser>
          <c:idx val="6"/>
          <c:order val="5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Clasificación!$D$67:$D$68</c:f>
              <c:numCache>
                <c:formatCode>General</c:formatCode>
                <c:ptCount val="2"/>
                <c:pt idx="0">
                  <c:v>10</c:v>
                </c:pt>
                <c:pt idx="1">
                  <c:v>30</c:v>
                </c:pt>
              </c:numCache>
            </c:numRef>
          </c:xVal>
          <c:yVal>
            <c:numRef>
              <c:f>Clasificación!$B$67:$B$68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yVal>
          <c:smooth val="1"/>
        </c:ser>
        <c:ser>
          <c:idx val="7"/>
          <c:order val="6"/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xVal>
            <c:numRef>
              <c:f>Clasificación!$C$21</c:f>
              <c:numCache>
                <c:formatCode>0.00</c:formatCode>
                <c:ptCount val="1"/>
                <c:pt idx="0">
                  <c:v>24.1</c:v>
                </c:pt>
              </c:numCache>
            </c:numRef>
          </c:xVal>
          <c:yVal>
            <c:numRef>
              <c:f>Clasificación!$C$23</c:f>
              <c:numCache>
                <c:formatCode>0.00</c:formatCode>
                <c:ptCount val="1"/>
                <c:pt idx="0">
                  <c:v>0.5</c:v>
                </c:pt>
              </c:numCache>
            </c:numRef>
          </c:yVal>
          <c:smooth val="1"/>
        </c:ser>
        <c:ser>
          <c:idx val="1"/>
          <c:order val="7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Clasificación!$B$64:$B$65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Clasificación!$D$64:$D$65</c:f>
              <c:numCache>
                <c:formatCode>General</c:formatCode>
                <c:ptCount val="2"/>
                <c:pt idx="0">
                  <c:v>8</c:v>
                </c:pt>
                <c:pt idx="1">
                  <c:v>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765432"/>
        <c:axId val="243764648"/>
      </c:scatterChart>
      <c:valAx>
        <c:axId val="243765432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Límite líquido</a:t>
                </a:r>
              </a:p>
            </c:rich>
          </c:tx>
          <c:layout>
            <c:manualLayout>
              <c:xMode val="edge"/>
              <c:yMode val="edge"/>
              <c:x val="0.45299235031518492"/>
              <c:y val="0.89625360230547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3764648"/>
        <c:crosses val="autoZero"/>
        <c:crossBetween val="midCat"/>
        <c:majorUnit val="10"/>
      </c:valAx>
      <c:valAx>
        <c:axId val="243764648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Índice plasticidad</a:t>
                </a:r>
              </a:p>
            </c:rich>
          </c:tx>
          <c:layout>
            <c:manualLayout>
              <c:xMode val="edge"/>
              <c:yMode val="edge"/>
              <c:x val="3.4188034188034191E-2"/>
              <c:y val="0.363112391930835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3765432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Clasificación fracción limoso-arcillosa (AAHSTO)</a:t>
            </a:r>
          </a:p>
        </c:rich>
      </c:tx>
      <c:layout>
        <c:manualLayout>
          <c:xMode val="edge"/>
          <c:yMode val="edge"/>
          <c:x val="0.13404255319148936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9787234042554"/>
          <c:y val="0.19764068734065998"/>
          <c:w val="0.80638297872340425"/>
          <c:h val="0.59882178403214892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Clasificación!$I$4:$I$5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xVal>
          <c:yVal>
            <c:numRef>
              <c:f>Clasificación!$J$4:$J$5</c:f>
              <c:numCache>
                <c:formatCode>General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Clasificación!$I$7:$I$8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Clasificación!$J$7:$J$8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yVal>
          <c:smooth val="1"/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Clasificación!$K$4:$K$5</c:f>
              <c:numCache>
                <c:formatCode>General</c:formatCode>
                <c:ptCount val="2"/>
                <c:pt idx="0">
                  <c:v>40</c:v>
                </c:pt>
                <c:pt idx="1">
                  <c:v>100</c:v>
                </c:pt>
              </c:numCache>
            </c:numRef>
          </c:xVal>
          <c:yVal>
            <c:numRef>
              <c:f>Clasificación!$L$4:$L$5</c:f>
              <c:numCache>
                <c:formatCode>General</c:formatCode>
                <c:ptCount val="2"/>
                <c:pt idx="0">
                  <c:v>10</c:v>
                </c:pt>
                <c:pt idx="1">
                  <c:v>70</c:v>
                </c:pt>
              </c:numCache>
            </c:numRef>
          </c:yVal>
          <c:smooth val="1"/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xVal>
            <c:numRef>
              <c:f>Clasificación!$C$21</c:f>
              <c:numCache>
                <c:formatCode>0.00</c:formatCode>
                <c:ptCount val="1"/>
                <c:pt idx="0">
                  <c:v>24.1</c:v>
                </c:pt>
              </c:numCache>
            </c:numRef>
          </c:xVal>
          <c:yVal>
            <c:numRef>
              <c:f>Clasificación!$C$23</c:f>
              <c:numCache>
                <c:formatCode>0.00</c:formatCode>
                <c:ptCount val="1"/>
                <c:pt idx="0">
                  <c:v>0.5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765040"/>
        <c:axId val="243766216"/>
      </c:scatterChart>
      <c:valAx>
        <c:axId val="24376504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LL (%)</a:t>
                </a:r>
              </a:p>
            </c:rich>
          </c:tx>
          <c:layout>
            <c:manualLayout>
              <c:xMode val="edge"/>
              <c:yMode val="edge"/>
              <c:x val="0.49574468085106382"/>
              <c:y val="0.88790808228617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3766216"/>
        <c:crosses val="autoZero"/>
        <c:crossBetween val="midCat"/>
        <c:majorUnit val="10"/>
      </c:valAx>
      <c:valAx>
        <c:axId val="243766216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IP (%)</a:t>
                </a:r>
              </a:p>
            </c:rich>
          </c:tx>
          <c:layout>
            <c:manualLayout>
              <c:xMode val="edge"/>
              <c:yMode val="edge"/>
              <c:x val="3.4042553191489362E-2"/>
              <c:y val="0.439529262382025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3765040"/>
        <c:crosses val="autoZero"/>
        <c:crossBetween val="midCat"/>
        <c:majorUnit val="1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Granulometría</a:t>
            </a:r>
          </a:p>
        </c:rich>
      </c:tx>
      <c:layout>
        <c:manualLayout>
          <c:xMode val="edge"/>
          <c:yMode val="edge"/>
          <c:x val="0.38732394366197181"/>
          <c:y val="3.6496350364963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58250940459353"/>
          <c:y val="0.21532885087970974"/>
          <c:w val="0.78638677923905898"/>
          <c:h val="0.5547455141307776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Suelos!$B$10:$B$25</c:f>
              <c:numCache>
                <c:formatCode>General</c:formatCode>
                <c:ptCount val="16"/>
                <c:pt idx="0">
                  <c:v>100</c:v>
                </c:pt>
                <c:pt idx="1">
                  <c:v>80</c:v>
                </c:pt>
                <c:pt idx="2">
                  <c:v>63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20</c:v>
                </c:pt>
                <c:pt idx="7">
                  <c:v>12.5</c:v>
                </c:pt>
                <c:pt idx="8">
                  <c:v>10</c:v>
                </c:pt>
                <c:pt idx="9">
                  <c:v>6.3</c:v>
                </c:pt>
                <c:pt idx="10">
                  <c:v>5</c:v>
                </c:pt>
                <c:pt idx="11">
                  <c:v>2</c:v>
                </c:pt>
                <c:pt idx="12">
                  <c:v>1.25</c:v>
                </c:pt>
                <c:pt idx="13">
                  <c:v>0.4</c:v>
                </c:pt>
                <c:pt idx="14" formatCode="0.000">
                  <c:v>0.16</c:v>
                </c:pt>
                <c:pt idx="15" formatCode="0.000">
                  <c:v>0.08</c:v>
                </c:pt>
              </c:numCache>
            </c:numRef>
          </c:xVal>
          <c:yVal>
            <c:numRef>
              <c:f>Suelos!$C$10:$C$25</c:f>
              <c:numCache>
                <c:formatCode>0.00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99.8</c:v>
                </c:pt>
                <c:pt idx="11">
                  <c:v>97.8</c:v>
                </c:pt>
                <c:pt idx="12">
                  <c:v>91.3</c:v>
                </c:pt>
                <c:pt idx="13">
                  <c:v>75</c:v>
                </c:pt>
                <c:pt idx="14">
                  <c:v>69.2</c:v>
                </c:pt>
                <c:pt idx="15">
                  <c:v>64.400000000000006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333333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Suelos!$B$10:$B$25</c:f>
              <c:numCache>
                <c:formatCode>General</c:formatCode>
                <c:ptCount val="16"/>
                <c:pt idx="0">
                  <c:v>100</c:v>
                </c:pt>
                <c:pt idx="1">
                  <c:v>80</c:v>
                </c:pt>
                <c:pt idx="2">
                  <c:v>63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20</c:v>
                </c:pt>
                <c:pt idx="7">
                  <c:v>12.5</c:v>
                </c:pt>
                <c:pt idx="8">
                  <c:v>10</c:v>
                </c:pt>
                <c:pt idx="9">
                  <c:v>6.3</c:v>
                </c:pt>
                <c:pt idx="10">
                  <c:v>5</c:v>
                </c:pt>
                <c:pt idx="11">
                  <c:v>2</c:v>
                </c:pt>
                <c:pt idx="12">
                  <c:v>1.25</c:v>
                </c:pt>
                <c:pt idx="13">
                  <c:v>0.4</c:v>
                </c:pt>
                <c:pt idx="14" formatCode="0.000">
                  <c:v>0.16</c:v>
                </c:pt>
                <c:pt idx="15" formatCode="0.000">
                  <c:v>0.08</c:v>
                </c:pt>
              </c:numCache>
            </c:numRef>
          </c:xVal>
          <c:yVal>
            <c:numRef>
              <c:f>Suelos!$D$10:$D$25</c:f>
              <c:numCache>
                <c:formatCode>0.00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</c:v>
                </c:pt>
                <c:pt idx="11">
                  <c:v>92.8</c:v>
                </c:pt>
                <c:pt idx="12">
                  <c:v>81</c:v>
                </c:pt>
                <c:pt idx="13">
                  <c:v>62.7</c:v>
                </c:pt>
                <c:pt idx="14">
                  <c:v>57.4</c:v>
                </c:pt>
                <c:pt idx="15">
                  <c:v>53.3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Suelos!$B$10:$B$25</c:f>
              <c:numCache>
                <c:formatCode>General</c:formatCode>
                <c:ptCount val="16"/>
                <c:pt idx="0">
                  <c:v>100</c:v>
                </c:pt>
                <c:pt idx="1">
                  <c:v>80</c:v>
                </c:pt>
                <c:pt idx="2">
                  <c:v>63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20</c:v>
                </c:pt>
                <c:pt idx="7">
                  <c:v>12.5</c:v>
                </c:pt>
                <c:pt idx="8">
                  <c:v>10</c:v>
                </c:pt>
                <c:pt idx="9">
                  <c:v>6.3</c:v>
                </c:pt>
                <c:pt idx="10">
                  <c:v>5</c:v>
                </c:pt>
                <c:pt idx="11">
                  <c:v>2</c:v>
                </c:pt>
                <c:pt idx="12">
                  <c:v>1.25</c:v>
                </c:pt>
                <c:pt idx="13">
                  <c:v>0.4</c:v>
                </c:pt>
                <c:pt idx="14" formatCode="0.000">
                  <c:v>0.16</c:v>
                </c:pt>
                <c:pt idx="15" formatCode="0.000">
                  <c:v>0.08</c:v>
                </c:pt>
              </c:numCache>
            </c:numRef>
          </c:xVal>
          <c:yVal>
            <c:numRef>
              <c:f>Suelos!$E$10:$E$25</c:f>
              <c:numCache>
                <c:formatCode>0.00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99.7</c:v>
                </c:pt>
                <c:pt idx="11">
                  <c:v>98.3</c:v>
                </c:pt>
                <c:pt idx="12">
                  <c:v>95</c:v>
                </c:pt>
                <c:pt idx="13">
                  <c:v>78.900000000000006</c:v>
                </c:pt>
                <c:pt idx="14">
                  <c:v>71.099999999999994</c:v>
                </c:pt>
                <c:pt idx="15">
                  <c:v>62.2</c:v>
                </c:pt>
              </c:numCache>
            </c:numRef>
          </c:yVal>
          <c:smooth val="1"/>
        </c:ser>
        <c:ser>
          <c:idx val="3"/>
          <c:order val="3"/>
          <c:spPr>
            <a:ln w="12700">
              <a:solidFill>
                <a:srgbClr val="333333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Suelos!$B$10:$B$25</c:f>
              <c:numCache>
                <c:formatCode>General</c:formatCode>
                <c:ptCount val="16"/>
                <c:pt idx="0">
                  <c:v>100</c:v>
                </c:pt>
                <c:pt idx="1">
                  <c:v>80</c:v>
                </c:pt>
                <c:pt idx="2">
                  <c:v>63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20</c:v>
                </c:pt>
                <c:pt idx="7">
                  <c:v>12.5</c:v>
                </c:pt>
                <c:pt idx="8">
                  <c:v>10</c:v>
                </c:pt>
                <c:pt idx="9">
                  <c:v>6.3</c:v>
                </c:pt>
                <c:pt idx="10">
                  <c:v>5</c:v>
                </c:pt>
                <c:pt idx="11">
                  <c:v>2</c:v>
                </c:pt>
                <c:pt idx="12">
                  <c:v>1.25</c:v>
                </c:pt>
                <c:pt idx="13">
                  <c:v>0.4</c:v>
                </c:pt>
                <c:pt idx="14" formatCode="0.000">
                  <c:v>0.16</c:v>
                </c:pt>
                <c:pt idx="15" formatCode="0.000">
                  <c:v>0.08</c:v>
                </c:pt>
              </c:numCache>
            </c:numRef>
          </c:xVal>
          <c:yVal>
            <c:numRef>
              <c:f>Suelos!$F$10:$F$25</c:f>
              <c:numCache>
                <c:formatCode>0.00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99.3</c:v>
                </c:pt>
                <c:pt idx="11">
                  <c:v>96.3</c:v>
                </c:pt>
                <c:pt idx="12">
                  <c:v>86.7</c:v>
                </c:pt>
                <c:pt idx="13">
                  <c:v>66.5</c:v>
                </c:pt>
                <c:pt idx="14">
                  <c:v>59.8</c:v>
                </c:pt>
                <c:pt idx="15">
                  <c:v>54.9</c:v>
                </c:pt>
              </c:numCache>
            </c:numRef>
          </c:yVal>
          <c:smooth val="1"/>
        </c:ser>
        <c:ser>
          <c:idx val="4"/>
          <c:order val="4"/>
          <c:spPr>
            <a:ln w="12700">
              <a:solidFill>
                <a:srgbClr val="333333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Suelos!$B$10:$B$25</c:f>
              <c:numCache>
                <c:formatCode>General</c:formatCode>
                <c:ptCount val="16"/>
                <c:pt idx="0">
                  <c:v>100</c:v>
                </c:pt>
                <c:pt idx="1">
                  <c:v>80</c:v>
                </c:pt>
                <c:pt idx="2">
                  <c:v>63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20</c:v>
                </c:pt>
                <c:pt idx="7">
                  <c:v>12.5</c:v>
                </c:pt>
                <c:pt idx="8">
                  <c:v>10</c:v>
                </c:pt>
                <c:pt idx="9">
                  <c:v>6.3</c:v>
                </c:pt>
                <c:pt idx="10">
                  <c:v>5</c:v>
                </c:pt>
                <c:pt idx="11">
                  <c:v>2</c:v>
                </c:pt>
                <c:pt idx="12">
                  <c:v>1.25</c:v>
                </c:pt>
                <c:pt idx="13">
                  <c:v>0.4</c:v>
                </c:pt>
                <c:pt idx="14" formatCode="0.000">
                  <c:v>0.16</c:v>
                </c:pt>
                <c:pt idx="15" formatCode="0.000">
                  <c:v>0.08</c:v>
                </c:pt>
              </c:numCache>
            </c:numRef>
          </c:xVal>
          <c:yVal>
            <c:numRef>
              <c:f>Suelos!$G$10:$G$25</c:f>
              <c:numCache>
                <c:formatCode>0.00</c:formatCode>
                <c:ptCount val="16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83136"/>
        <c:axId val="245584704"/>
      </c:scatterChart>
      <c:valAx>
        <c:axId val="245583136"/>
        <c:scaling>
          <c:logBase val="10"/>
          <c:orientation val="maxMin"/>
          <c:max val="1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Luz de malla</a:t>
                </a:r>
              </a:p>
            </c:rich>
          </c:tx>
          <c:layout>
            <c:manualLayout>
              <c:xMode val="edge"/>
              <c:yMode val="edge"/>
              <c:x val="0.46009488250588393"/>
              <c:y val="0.86861467134126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5584704"/>
        <c:crosses val="autoZero"/>
        <c:crossBetween val="midCat"/>
      </c:valAx>
      <c:valAx>
        <c:axId val="24558470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% pasa</a:t>
                </a:r>
              </a:p>
            </c:rich>
          </c:tx>
          <c:layout>
            <c:manualLayout>
              <c:xMode val="edge"/>
              <c:yMode val="edge"/>
              <c:x val="3.7558685446009391E-2"/>
              <c:y val="0.416059160488150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5583136"/>
        <c:crosses val="max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55" verticalDpi="46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Ábaco de Casagrande</a:t>
            </a:r>
          </a:p>
        </c:rich>
      </c:tx>
      <c:layout>
        <c:manualLayout>
          <c:xMode val="edge"/>
          <c:yMode val="edge"/>
          <c:x val="0.33176470588235296"/>
          <c:y val="3.678929765886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2352941176471"/>
          <c:y val="0.20066889632107024"/>
          <c:w val="0.8023529411764706"/>
          <c:h val="0.58862876254180607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Suelos!$R$9:$R$10</c:f>
              <c:numCache>
                <c:formatCode>General</c:formatCode>
                <c:ptCount val="2"/>
                <c:pt idx="0">
                  <c:v>25.48</c:v>
                </c:pt>
                <c:pt idx="1">
                  <c:v>100</c:v>
                </c:pt>
              </c:numCache>
            </c:numRef>
          </c:xVal>
          <c:yVal>
            <c:numRef>
              <c:f>Suelos!$S$9:$S$10</c:f>
              <c:numCache>
                <c:formatCode>0.00</c:formatCode>
                <c:ptCount val="2"/>
                <c:pt idx="0">
                  <c:v>4.0004</c:v>
                </c:pt>
                <c:pt idx="1">
                  <c:v>58.4</c:v>
                </c:pt>
              </c:numCache>
            </c:numRef>
          </c:yVal>
          <c:smooth val="1"/>
        </c:ser>
        <c:ser>
          <c:idx val="2"/>
          <c:order val="1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Suelos!$R$16:$R$17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Suelos!$S$16:$S$17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1"/>
        </c:ser>
        <c:ser>
          <c:idx val="3"/>
          <c:order val="2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Suelos!$S$5:$S$6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Suelos!$R$5:$R$6</c:f>
              <c:numCache>
                <c:formatCode>General</c:formatCode>
                <c:ptCount val="2"/>
                <c:pt idx="0">
                  <c:v>-7.2</c:v>
                </c:pt>
                <c:pt idx="1">
                  <c:v>82.8</c:v>
                </c:pt>
              </c:numCache>
            </c:numRef>
          </c:yVal>
          <c:smooth val="1"/>
        </c:ser>
        <c:ser>
          <c:idx val="4"/>
          <c:order val="3"/>
          <c:spPr>
            <a:ln w="25400">
              <a:solidFill>
                <a:srgbClr val="333333"/>
              </a:solidFill>
              <a:prstDash val="sysDash"/>
            </a:ln>
          </c:spPr>
          <c:marker>
            <c:symbol val="none"/>
          </c:marker>
          <c:xVal>
            <c:numRef>
              <c:f>Suelos!$R$8:$R$9</c:f>
              <c:numCache>
                <c:formatCode>General</c:formatCode>
                <c:ptCount val="2"/>
                <c:pt idx="0">
                  <c:v>20</c:v>
                </c:pt>
                <c:pt idx="1">
                  <c:v>25.48</c:v>
                </c:pt>
              </c:numCache>
            </c:numRef>
          </c:xVal>
          <c:yVal>
            <c:numRef>
              <c:f>Suelos!$S$8:$S$9</c:f>
              <c:numCache>
                <c:formatCode>0.00</c:formatCode>
                <c:ptCount val="2"/>
                <c:pt idx="0">
                  <c:v>0</c:v>
                </c:pt>
                <c:pt idx="1">
                  <c:v>4.0004</c:v>
                </c:pt>
              </c:numCache>
            </c:numRef>
          </c:yVal>
          <c:smooth val="1"/>
        </c:ser>
        <c:ser>
          <c:idx val="5"/>
          <c:order val="4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Suelos!$S$12:$S$13</c:f>
              <c:numCache>
                <c:formatCode>General</c:formatCode>
                <c:ptCount val="2"/>
                <c:pt idx="0">
                  <c:v>10</c:v>
                </c:pt>
                <c:pt idx="1">
                  <c:v>25</c:v>
                </c:pt>
              </c:numCache>
            </c:numRef>
          </c:xVal>
          <c:yVal>
            <c:numRef>
              <c:f>Suelos!$R$12:$R$13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1"/>
        </c:ser>
        <c:ser>
          <c:idx val="6"/>
          <c:order val="5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Suelos!$S$12:$S$14</c:f>
              <c:numCache>
                <c:formatCode>General</c:formatCode>
                <c:ptCount val="3"/>
                <c:pt idx="0">
                  <c:v>10</c:v>
                </c:pt>
                <c:pt idx="1">
                  <c:v>25</c:v>
                </c:pt>
                <c:pt idx="2">
                  <c:v>30</c:v>
                </c:pt>
              </c:numCache>
            </c:numRef>
          </c:xVal>
          <c:yVal>
            <c:numRef>
              <c:f>Suelos!$T$12:$T$14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7</c:v>
                </c:pt>
              </c:numCache>
            </c:numRef>
          </c:yVal>
          <c:smooth val="1"/>
        </c:ser>
        <c:ser>
          <c:idx val="7"/>
          <c:order val="6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Suelos!$C$27</c:f>
              <c:numCache>
                <c:formatCode>0.00</c:formatCode>
                <c:ptCount val="1"/>
                <c:pt idx="0">
                  <c:v>41</c:v>
                </c:pt>
              </c:numCache>
            </c:numRef>
          </c:xVal>
          <c:yVal>
            <c:numRef>
              <c:f>Suelos!$C$29</c:f>
              <c:numCache>
                <c:formatCode>0.00</c:formatCode>
                <c:ptCount val="1"/>
                <c:pt idx="0">
                  <c:v>23.4</c:v>
                </c:pt>
              </c:numCache>
            </c:numRef>
          </c:yVal>
          <c:smooth val="1"/>
        </c:ser>
        <c:ser>
          <c:idx val="1"/>
          <c:order val="7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Suelos!$R$19:$R$20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Suelos!$S$19:$S$20</c:f>
              <c:numCache>
                <c:formatCode>General</c:formatCode>
                <c:ptCount val="2"/>
                <c:pt idx="0">
                  <c:v>8</c:v>
                </c:pt>
                <c:pt idx="1">
                  <c:v>20</c:v>
                </c:pt>
              </c:numCache>
            </c:numRef>
          </c:yVal>
          <c:smooth val="1"/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Suelos!$D$27</c:f>
              <c:numCache>
                <c:formatCode>0.00</c:formatCode>
                <c:ptCount val="1"/>
                <c:pt idx="0">
                  <c:v>41</c:v>
                </c:pt>
              </c:numCache>
            </c:numRef>
          </c:xVal>
          <c:yVal>
            <c:numRef>
              <c:f>Suelos!$D$29</c:f>
              <c:numCache>
                <c:formatCode>0.00</c:formatCode>
                <c:ptCount val="1"/>
                <c:pt idx="0">
                  <c:v>22.4</c:v>
                </c:pt>
              </c:numCache>
            </c:numRef>
          </c:yVal>
          <c:smooth val="1"/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Suelos!$E$27</c:f>
              <c:numCache>
                <c:formatCode>0.00</c:formatCode>
                <c:ptCount val="1"/>
                <c:pt idx="0">
                  <c:v>37</c:v>
                </c:pt>
              </c:numCache>
            </c:numRef>
          </c:xVal>
          <c:yVal>
            <c:numRef>
              <c:f>Suelos!$E$29</c:f>
              <c:numCache>
                <c:formatCode>0.00</c:formatCode>
                <c:ptCount val="1"/>
                <c:pt idx="0">
                  <c:v>19.899999999999999</c:v>
                </c:pt>
              </c:numCache>
            </c:numRef>
          </c:yVal>
          <c:smooth val="1"/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Suelos!$F$27</c:f>
              <c:numCache>
                <c:formatCode>0.00</c:formatCode>
                <c:ptCount val="1"/>
                <c:pt idx="0">
                  <c:v>39</c:v>
                </c:pt>
              </c:numCache>
            </c:numRef>
          </c:xVal>
          <c:yVal>
            <c:numRef>
              <c:f>Suelos!$F$29</c:f>
              <c:numCache>
                <c:formatCode>0.00</c:formatCode>
                <c:ptCount val="1"/>
                <c:pt idx="0">
                  <c:v>22</c:v>
                </c:pt>
              </c:numCache>
            </c:numRef>
          </c:yVal>
          <c:smooth val="1"/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Suelos!$G$27</c:f>
              <c:numCache>
                <c:formatCode>0.00</c:formatCode>
                <c:ptCount val="1"/>
              </c:numCache>
            </c:numRef>
          </c:xVal>
          <c:yVal>
            <c:numRef>
              <c:f>Suelos!$G$29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82744"/>
        <c:axId val="245587056"/>
      </c:scatterChart>
      <c:valAx>
        <c:axId val="245582744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Límite líquido</a:t>
                </a:r>
              </a:p>
            </c:rich>
          </c:tx>
          <c:layout>
            <c:manualLayout>
              <c:xMode val="edge"/>
              <c:yMode val="edge"/>
              <c:x val="0.44705882352941179"/>
              <c:y val="0.879598662207357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5587056"/>
        <c:crosses val="autoZero"/>
        <c:crossBetween val="midCat"/>
        <c:majorUnit val="10"/>
      </c:valAx>
      <c:valAx>
        <c:axId val="245587056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Índice plasticidad</a:t>
                </a:r>
              </a:p>
            </c:rich>
          </c:tx>
          <c:layout>
            <c:manualLayout>
              <c:xMode val="edge"/>
              <c:yMode val="edge"/>
              <c:x val="3.7647058823529408E-2"/>
              <c:y val="0.331103678929765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55827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Criterio de colapsibilidad de Gibbs</a:t>
            </a:r>
          </a:p>
        </c:rich>
      </c:tx>
      <c:layout>
        <c:manualLayout>
          <c:xMode val="edge"/>
          <c:yMode val="edge"/>
          <c:x val="0.23764705882352941"/>
          <c:y val="3.6303630363036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70588235294117"/>
          <c:y val="0.19802044019582882"/>
          <c:w val="0.78117647058823525"/>
          <c:h val="0.58746063924762548"/>
        </c:manualLayout>
      </c:layout>
      <c:scatterChart>
        <c:scatterStyle val="lineMarker"/>
        <c:varyColors val="0"/>
        <c:ser>
          <c:idx val="0"/>
          <c:order val="0"/>
          <c:spPr>
            <a:ln w="3175">
              <a:solidFill>
                <a:srgbClr val="333333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Suelos!$C$31</c:f>
              <c:numCache>
                <c:formatCode>0.00</c:formatCode>
                <c:ptCount val="1"/>
                <c:pt idx="0">
                  <c:v>1.81</c:v>
                </c:pt>
              </c:numCache>
            </c:numRef>
          </c:xVal>
          <c:yVal>
            <c:numRef>
              <c:f>Suelos!$C$27</c:f>
              <c:numCache>
                <c:formatCode>0.00</c:formatCode>
                <c:ptCount val="1"/>
                <c:pt idx="0">
                  <c:v>41</c:v>
                </c:pt>
              </c:numCache>
            </c:numRef>
          </c:yVal>
          <c:smooth val="0"/>
        </c:ser>
        <c:ser>
          <c:idx val="1"/>
          <c:order val="1"/>
          <c:spPr>
            <a:ln w="3175">
              <a:solidFill>
                <a:srgbClr val="333333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Suelos!$D$31</c:f>
              <c:numCache>
                <c:formatCode>0.00</c:formatCode>
                <c:ptCount val="1"/>
                <c:pt idx="0">
                  <c:v>1.84</c:v>
                </c:pt>
              </c:numCache>
            </c:numRef>
          </c:xVal>
          <c:yVal>
            <c:numRef>
              <c:f>Suelos!$D$27</c:f>
              <c:numCache>
                <c:formatCode>0.00</c:formatCode>
                <c:ptCount val="1"/>
                <c:pt idx="0">
                  <c:v>41</c:v>
                </c:pt>
              </c:numCache>
            </c:numRef>
          </c:yVal>
          <c:smooth val="0"/>
        </c:ser>
        <c:ser>
          <c:idx val="2"/>
          <c:order val="2"/>
          <c:spPr>
            <a:ln w="3175">
              <a:solidFill>
                <a:srgbClr val="333333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Suelos!$E$31</c:f>
              <c:numCache>
                <c:formatCode>0.00</c:formatCode>
                <c:ptCount val="1"/>
              </c:numCache>
            </c:numRef>
          </c:xVal>
          <c:yVal>
            <c:numRef>
              <c:f>Suelos!$E$27</c:f>
              <c:numCache>
                <c:formatCode>0.00</c:formatCode>
                <c:ptCount val="1"/>
                <c:pt idx="0">
                  <c:v>37</c:v>
                </c:pt>
              </c:numCache>
            </c:numRef>
          </c:yVal>
          <c:smooth val="0"/>
        </c:ser>
        <c:ser>
          <c:idx val="3"/>
          <c:order val="3"/>
          <c:spPr>
            <a:ln w="3175">
              <a:solidFill>
                <a:srgbClr val="333333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Suelos!$F$31</c:f>
              <c:numCache>
                <c:formatCode>0.00</c:formatCode>
                <c:ptCount val="1"/>
                <c:pt idx="0">
                  <c:v>1.81</c:v>
                </c:pt>
              </c:numCache>
            </c:numRef>
          </c:xVal>
          <c:yVal>
            <c:numRef>
              <c:f>Suelos!$F$27</c:f>
              <c:numCache>
                <c:formatCode>0.00</c:formatCode>
                <c:ptCount val="1"/>
                <c:pt idx="0">
                  <c:v>39</c:v>
                </c:pt>
              </c:numCache>
            </c:numRef>
          </c:yVal>
          <c:smooth val="0"/>
        </c:ser>
        <c:ser>
          <c:idx val="4"/>
          <c:order val="4"/>
          <c:spPr>
            <a:ln w="3175">
              <a:solidFill>
                <a:srgbClr val="333333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Suelos!$G$31</c:f>
              <c:numCache>
                <c:formatCode>0.00</c:formatCode>
                <c:ptCount val="1"/>
                <c:pt idx="0">
                  <c:v>1.79</c:v>
                </c:pt>
              </c:numCache>
            </c:numRef>
          </c:xVal>
          <c:yVal>
            <c:numRef>
              <c:f>Suelos!$G$27</c:f>
              <c:numCache>
                <c:formatCode>0.00</c:formatCode>
                <c:ptCount val="1"/>
              </c:numCache>
            </c:numRef>
          </c:yVal>
          <c:smooth val="0"/>
        </c:ser>
        <c:ser>
          <c:idx val="5"/>
          <c:order val="5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Suelos!$R$25:$S$25</c:f>
              <c:numCache>
                <c:formatCode>General</c:formatCode>
                <c:ptCount val="2"/>
                <c:pt idx="0">
                  <c:v>2.6</c:v>
                </c:pt>
                <c:pt idx="1">
                  <c:v>1.2993503248375813</c:v>
                </c:pt>
              </c:numCache>
            </c:numRef>
          </c:xVal>
          <c:yVal>
            <c:numRef>
              <c:f>Suelos!$R$24:$S$24</c:f>
              <c:numCache>
                <c:formatCode>General</c:formatCode>
                <c:ptCount val="2"/>
                <c:pt idx="0">
                  <c:v>0</c:v>
                </c:pt>
                <c:pt idx="1">
                  <c:v>38.5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86272"/>
        <c:axId val="245581960"/>
      </c:scatterChart>
      <c:valAx>
        <c:axId val="245586272"/>
        <c:scaling>
          <c:orientation val="minMax"/>
          <c:max val="2.7"/>
          <c:min val="1.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Densidad seca (gr/cm3)</a:t>
                </a:r>
              </a:p>
            </c:rich>
          </c:tx>
          <c:layout>
            <c:manualLayout>
              <c:xMode val="edge"/>
              <c:yMode val="edge"/>
              <c:x val="0.4"/>
              <c:y val="0.874590230676611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5581960"/>
        <c:crosses val="autoZero"/>
        <c:crossBetween val="midCat"/>
        <c:majorUnit val="0.1"/>
        <c:minorUnit val="0.05"/>
      </c:valAx>
      <c:valAx>
        <c:axId val="245581960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Límite liquido</a:t>
                </a:r>
              </a:p>
            </c:rich>
          </c:tx>
          <c:layout>
            <c:manualLayout>
              <c:xMode val="edge"/>
              <c:yMode val="edge"/>
              <c:x val="4.2352941176470586E-2"/>
              <c:y val="0.363037343104389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5586272"/>
        <c:crossesAt val="1.3"/>
        <c:crossBetween val="midCat"/>
        <c:minorUnit val="2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5.png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6</xdr:col>
      <xdr:colOff>95250</xdr:colOff>
      <xdr:row>8</xdr:row>
      <xdr:rowOff>57150</xdr:rowOff>
    </xdr:to>
    <xdr:pic>
      <xdr:nvPicPr>
        <xdr:cNvPr id="48148" name="Picture 1" descr="C:\Archivos de programa\Arachnophilia\geotecnia\logogeotecni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7425" y="0"/>
          <a:ext cx="2162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31</xdr:row>
      <xdr:rowOff>57150</xdr:rowOff>
    </xdr:from>
    <xdr:to>
      <xdr:col>8</xdr:col>
      <xdr:colOff>733425</xdr:colOff>
      <xdr:row>43</xdr:row>
      <xdr:rowOff>57150</xdr:rowOff>
    </xdr:to>
    <xdr:pic>
      <xdr:nvPicPr>
        <xdr:cNvPr id="208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5238750"/>
          <a:ext cx="2667000" cy="1971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</xdr:row>
          <xdr:rowOff>0</xdr:rowOff>
        </xdr:from>
        <xdr:to>
          <xdr:col>0</xdr:col>
          <xdr:colOff>0</xdr:colOff>
          <xdr:row>20</xdr:row>
          <xdr:rowOff>152400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CLASIFICAR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26</xdr:row>
          <xdr:rowOff>152400</xdr:rowOff>
        </xdr:from>
        <xdr:to>
          <xdr:col>19</xdr:col>
          <xdr:colOff>342900</xdr:colOff>
          <xdr:row>42</xdr:row>
          <xdr:rowOff>38100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38100</xdr:rowOff>
    </xdr:from>
    <xdr:to>
      <xdr:col>6</xdr:col>
      <xdr:colOff>0</xdr:colOff>
      <xdr:row>49</xdr:row>
      <xdr:rowOff>0</xdr:rowOff>
    </xdr:to>
    <xdr:graphicFrame macro="">
      <xdr:nvGraphicFramePr>
        <xdr:cNvPr id="454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28575</xdr:rowOff>
    </xdr:from>
    <xdr:to>
      <xdr:col>6</xdr:col>
      <xdr:colOff>0</xdr:colOff>
      <xdr:row>70</xdr:row>
      <xdr:rowOff>66675</xdr:rowOff>
    </xdr:to>
    <xdr:grpSp>
      <xdr:nvGrpSpPr>
        <xdr:cNvPr id="45413" name="Group 2"/>
        <xdr:cNvGrpSpPr>
          <a:grpSpLocks/>
        </xdr:cNvGrpSpPr>
      </xdr:nvGrpSpPr>
      <xdr:grpSpPr bwMode="auto">
        <a:xfrm>
          <a:off x="102419" y="8375752"/>
          <a:ext cx="4465484" cy="3346246"/>
          <a:chOff x="20" y="900"/>
          <a:chExt cx="471" cy="347"/>
        </a:xfrm>
      </xdr:grpSpPr>
      <xdr:graphicFrame macro="">
        <xdr:nvGraphicFramePr>
          <xdr:cNvPr id="45421" name="Chart 3"/>
          <xdr:cNvGraphicFramePr>
            <a:graphicFrameLocks/>
          </xdr:cNvGraphicFramePr>
        </xdr:nvGraphicFramePr>
        <xdr:xfrm>
          <a:off x="20" y="900"/>
          <a:ext cx="471" cy="3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45060" name="Text Box 4"/>
          <xdr:cNvSpPr txBox="1">
            <a:spLocks noChangeArrowheads="1"/>
          </xdr:cNvSpPr>
        </xdr:nvSpPr>
        <xdr:spPr bwMode="auto">
          <a:xfrm>
            <a:off x="361" y="1123"/>
            <a:ext cx="44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OH ó MH</a:t>
            </a:r>
          </a:p>
        </xdr:txBody>
      </xdr:sp>
      <xdr:sp macro="" textlink="">
        <xdr:nvSpPr>
          <xdr:cNvPr id="45061" name="Text Box 5"/>
          <xdr:cNvSpPr txBox="1">
            <a:spLocks noChangeArrowheads="1"/>
          </xdr:cNvSpPr>
        </xdr:nvSpPr>
        <xdr:spPr bwMode="auto">
          <a:xfrm>
            <a:off x="324" y="1012"/>
            <a:ext cx="16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CH</a:t>
            </a:r>
          </a:p>
        </xdr:txBody>
      </xdr:sp>
      <xdr:sp macro="" textlink="">
        <xdr:nvSpPr>
          <xdr:cNvPr id="45062" name="Text Box 6"/>
          <xdr:cNvSpPr txBox="1">
            <a:spLocks noChangeArrowheads="1"/>
          </xdr:cNvSpPr>
        </xdr:nvSpPr>
        <xdr:spPr bwMode="auto">
          <a:xfrm>
            <a:off x="195" y="1058"/>
            <a:ext cx="15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CL</a:t>
            </a:r>
          </a:p>
        </xdr:txBody>
      </xdr:sp>
      <xdr:sp macro="" textlink="">
        <xdr:nvSpPr>
          <xdr:cNvPr id="45063" name="Text Box 7"/>
          <xdr:cNvSpPr txBox="1">
            <a:spLocks noChangeArrowheads="1"/>
          </xdr:cNvSpPr>
        </xdr:nvSpPr>
        <xdr:spPr bwMode="auto">
          <a:xfrm>
            <a:off x="215" y="1157"/>
            <a:ext cx="42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ML ú OL</a:t>
            </a:r>
          </a:p>
        </xdr:txBody>
      </xdr:sp>
      <xdr:sp macro="" textlink="">
        <xdr:nvSpPr>
          <xdr:cNvPr id="45064" name="Text Box 8"/>
          <xdr:cNvSpPr txBox="1">
            <a:spLocks noChangeArrowheads="1"/>
          </xdr:cNvSpPr>
        </xdr:nvSpPr>
        <xdr:spPr bwMode="auto">
          <a:xfrm>
            <a:off x="139" y="1157"/>
            <a:ext cx="31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600" b="0" i="0" strike="noStrike">
                <a:solidFill>
                  <a:srgbClr val="000000"/>
                </a:solidFill>
                <a:latin typeface="Arial"/>
                <a:cs typeface="Arial"/>
              </a:rPr>
              <a:t>CL - ML</a:t>
            </a:r>
          </a:p>
        </xdr:txBody>
      </xdr:sp>
      <xdr:sp macro="" textlink="">
        <xdr:nvSpPr>
          <xdr:cNvPr id="45065" name="Text Box 9"/>
          <xdr:cNvSpPr txBox="1">
            <a:spLocks noChangeArrowheads="1"/>
          </xdr:cNvSpPr>
        </xdr:nvSpPr>
        <xdr:spPr bwMode="auto">
          <a:xfrm>
            <a:off x="129" y="1166"/>
            <a:ext cx="16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ML</a:t>
            </a:r>
          </a:p>
        </xdr:txBody>
      </xdr:sp>
      <xdr:sp macro="" textlink="">
        <xdr:nvSpPr>
          <xdr:cNvPr id="45066" name="Text Box 10"/>
          <xdr:cNvSpPr txBox="1">
            <a:spLocks noChangeArrowheads="1"/>
          </xdr:cNvSpPr>
        </xdr:nvSpPr>
        <xdr:spPr bwMode="auto">
          <a:xfrm>
            <a:off x="392" y="1020"/>
            <a:ext cx="5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Línea A</a:t>
            </a:r>
          </a:p>
        </xdr:txBody>
      </xdr:sp>
      <xdr:sp macro="" textlink="">
        <xdr:nvSpPr>
          <xdr:cNvPr id="45067" name="Text Box 11"/>
          <xdr:cNvSpPr txBox="1">
            <a:spLocks noChangeArrowheads="1"/>
          </xdr:cNvSpPr>
        </xdr:nvSpPr>
        <xdr:spPr bwMode="auto">
          <a:xfrm>
            <a:off x="219" y="969"/>
            <a:ext cx="5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Línea B</a:t>
            </a:r>
          </a:p>
        </xdr:txBody>
      </xdr:sp>
    </xdr:grpSp>
    <xdr:clientData/>
  </xdr:twoCellAnchor>
  <xdr:twoCellAnchor>
    <xdr:from>
      <xdr:col>8</xdr:col>
      <xdr:colOff>0</xdr:colOff>
      <xdr:row>2</xdr:row>
      <xdr:rowOff>95250</xdr:rowOff>
    </xdr:from>
    <xdr:to>
      <xdr:col>12</xdr:col>
      <xdr:colOff>0</xdr:colOff>
      <xdr:row>22</xdr:row>
      <xdr:rowOff>66675</xdr:rowOff>
    </xdr:to>
    <xdr:grpSp>
      <xdr:nvGrpSpPr>
        <xdr:cNvPr id="45414" name="Group 15"/>
        <xdr:cNvGrpSpPr>
          <a:grpSpLocks/>
        </xdr:cNvGrpSpPr>
      </xdr:nvGrpSpPr>
      <xdr:grpSpPr bwMode="auto">
        <a:xfrm>
          <a:off x="4752258" y="433234"/>
          <a:ext cx="4465484" cy="3269328"/>
          <a:chOff x="502" y="62"/>
          <a:chExt cx="470" cy="341"/>
        </a:xfrm>
      </xdr:grpSpPr>
      <xdr:graphicFrame macro="">
        <xdr:nvGraphicFramePr>
          <xdr:cNvPr id="45415" name="Chart 16"/>
          <xdr:cNvGraphicFramePr>
            <a:graphicFrameLocks/>
          </xdr:cNvGraphicFramePr>
        </xdr:nvGraphicFramePr>
        <xdr:xfrm>
          <a:off x="502" y="62"/>
          <a:ext cx="470" cy="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45073" name="Text Box 17"/>
          <xdr:cNvSpPr txBox="1">
            <a:spLocks noChangeArrowheads="1"/>
          </xdr:cNvSpPr>
        </xdr:nvSpPr>
        <xdr:spPr bwMode="auto">
          <a:xfrm>
            <a:off x="645" y="248"/>
            <a:ext cx="30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A-6</a:t>
            </a:r>
          </a:p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A-2-6</a:t>
            </a:r>
          </a:p>
        </xdr:txBody>
      </xdr:sp>
      <xdr:sp macro="" textlink="">
        <xdr:nvSpPr>
          <xdr:cNvPr id="45074" name="Text Box 18"/>
          <xdr:cNvSpPr txBox="1">
            <a:spLocks noChangeArrowheads="1"/>
          </xdr:cNvSpPr>
        </xdr:nvSpPr>
        <xdr:spPr bwMode="auto">
          <a:xfrm>
            <a:off x="645" y="306"/>
            <a:ext cx="30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A-4</a:t>
            </a:r>
          </a:p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A-2-4</a:t>
            </a:r>
          </a:p>
        </xdr:txBody>
      </xdr:sp>
      <xdr:sp macro="" textlink="">
        <xdr:nvSpPr>
          <xdr:cNvPr id="45075" name="Text Box 19"/>
          <xdr:cNvSpPr txBox="1">
            <a:spLocks noChangeArrowheads="1"/>
          </xdr:cNvSpPr>
        </xdr:nvSpPr>
        <xdr:spPr bwMode="auto">
          <a:xfrm>
            <a:off x="760" y="197"/>
            <a:ext cx="30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A-7-6</a:t>
            </a:r>
          </a:p>
        </xdr:txBody>
      </xdr:sp>
      <xdr:sp macro="" textlink="">
        <xdr:nvSpPr>
          <xdr:cNvPr id="45076" name="Text Box 20"/>
          <xdr:cNvSpPr txBox="1">
            <a:spLocks noChangeArrowheads="1"/>
          </xdr:cNvSpPr>
        </xdr:nvSpPr>
        <xdr:spPr bwMode="auto">
          <a:xfrm>
            <a:off x="760" y="306"/>
            <a:ext cx="30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A-5</a:t>
            </a:r>
          </a:p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A-2-5</a:t>
            </a:r>
          </a:p>
        </xdr:txBody>
      </xdr:sp>
      <xdr:sp macro="" textlink="">
        <xdr:nvSpPr>
          <xdr:cNvPr id="45077" name="Text Box 21"/>
          <xdr:cNvSpPr txBox="1">
            <a:spLocks noChangeArrowheads="1"/>
          </xdr:cNvSpPr>
        </xdr:nvSpPr>
        <xdr:spPr bwMode="auto">
          <a:xfrm>
            <a:off x="835" y="248"/>
            <a:ext cx="30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A-7-5</a:t>
            </a:r>
          </a:p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A-2-7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22</xdr:row>
      <xdr:rowOff>0</xdr:rowOff>
    </xdr:from>
    <xdr:to>
      <xdr:col>17</xdr:col>
      <xdr:colOff>876300</xdr:colOff>
      <xdr:row>24</xdr:row>
      <xdr:rowOff>66675</xdr:rowOff>
    </xdr:to>
    <xdr:pic>
      <xdr:nvPicPr>
        <xdr:cNvPr id="40270" name="Picture 2" descr="C:\Documents and Settings\pc\Mis documentos\JGB\texto\mecanica de suelos\CÁLCULO DE ROTURA DE UN SUELO_archivos\image004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91850" y="3629025"/>
          <a:ext cx="8763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2</xdr:row>
      <xdr:rowOff>19050</xdr:rowOff>
    </xdr:from>
    <xdr:to>
      <xdr:col>16</xdr:col>
      <xdr:colOff>47625</xdr:colOff>
      <xdr:row>17</xdr:row>
      <xdr:rowOff>152400</xdr:rowOff>
    </xdr:to>
    <xdr:graphicFrame macro="">
      <xdr:nvGraphicFramePr>
        <xdr:cNvPr id="402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</xdr:colOff>
      <xdr:row>19</xdr:row>
      <xdr:rowOff>85725</xdr:rowOff>
    </xdr:from>
    <xdr:to>
      <xdr:col>16</xdr:col>
      <xdr:colOff>38100</xdr:colOff>
      <xdr:row>36</xdr:row>
      <xdr:rowOff>114300</xdr:rowOff>
    </xdr:to>
    <xdr:grpSp>
      <xdr:nvGrpSpPr>
        <xdr:cNvPr id="40272" name="Group 36"/>
        <xdr:cNvGrpSpPr>
          <a:grpSpLocks/>
        </xdr:cNvGrpSpPr>
      </xdr:nvGrpSpPr>
      <xdr:grpSpPr bwMode="auto">
        <a:xfrm>
          <a:off x="6527800" y="3197225"/>
          <a:ext cx="4083050" cy="2822575"/>
          <a:chOff x="687" y="338"/>
          <a:chExt cx="425" cy="299"/>
        </a:xfrm>
      </xdr:grpSpPr>
      <xdr:graphicFrame macro="">
        <xdr:nvGraphicFramePr>
          <xdr:cNvPr id="40277" name="Chart 6"/>
          <xdr:cNvGraphicFramePr>
            <a:graphicFrameLocks/>
          </xdr:cNvGraphicFramePr>
        </xdr:nvGraphicFramePr>
        <xdr:xfrm>
          <a:off x="687" y="338"/>
          <a:ext cx="425" cy="2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39943" name="Text Box 7"/>
          <xdr:cNvSpPr txBox="1">
            <a:spLocks noChangeArrowheads="1"/>
          </xdr:cNvSpPr>
        </xdr:nvSpPr>
        <xdr:spPr bwMode="auto">
          <a:xfrm>
            <a:off x="967" y="531"/>
            <a:ext cx="44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OH ó MH</a:t>
            </a:r>
          </a:p>
        </xdr:txBody>
      </xdr:sp>
      <xdr:sp macro="" textlink="">
        <xdr:nvSpPr>
          <xdr:cNvPr id="39944" name="Text Box 8"/>
          <xdr:cNvSpPr txBox="1">
            <a:spLocks noChangeArrowheads="1"/>
          </xdr:cNvSpPr>
        </xdr:nvSpPr>
        <xdr:spPr bwMode="auto">
          <a:xfrm>
            <a:off x="988" y="428"/>
            <a:ext cx="16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CH</a:t>
            </a:r>
          </a:p>
        </xdr:txBody>
      </xdr:sp>
      <xdr:sp macro="" textlink="">
        <xdr:nvSpPr>
          <xdr:cNvPr id="39945" name="Text Box 9"/>
          <xdr:cNvSpPr txBox="1">
            <a:spLocks noChangeArrowheads="1"/>
          </xdr:cNvSpPr>
        </xdr:nvSpPr>
        <xdr:spPr bwMode="auto">
          <a:xfrm>
            <a:off x="852" y="491"/>
            <a:ext cx="15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CL</a:t>
            </a:r>
          </a:p>
        </xdr:txBody>
      </xdr:sp>
      <xdr:sp macro="" textlink="">
        <xdr:nvSpPr>
          <xdr:cNvPr id="39946" name="Text Box 10"/>
          <xdr:cNvSpPr txBox="1">
            <a:spLocks noChangeArrowheads="1"/>
          </xdr:cNvSpPr>
        </xdr:nvSpPr>
        <xdr:spPr bwMode="auto">
          <a:xfrm>
            <a:off x="867" y="557"/>
            <a:ext cx="42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ML ú OL</a:t>
            </a:r>
          </a:p>
        </xdr:txBody>
      </xdr:sp>
      <xdr:sp macro="" textlink="">
        <xdr:nvSpPr>
          <xdr:cNvPr id="39947" name="Text Box 11"/>
          <xdr:cNvSpPr txBox="1">
            <a:spLocks noChangeArrowheads="1"/>
          </xdr:cNvSpPr>
        </xdr:nvSpPr>
        <xdr:spPr bwMode="auto">
          <a:xfrm>
            <a:off x="795" y="551"/>
            <a:ext cx="31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600" b="0" i="0" strike="noStrike">
                <a:solidFill>
                  <a:srgbClr val="000000"/>
                </a:solidFill>
                <a:latin typeface="Arial"/>
                <a:cs typeface="Arial"/>
              </a:rPr>
              <a:t>CL - ML</a:t>
            </a:r>
          </a:p>
        </xdr:txBody>
      </xdr:sp>
      <xdr:sp macro="" textlink="">
        <xdr:nvSpPr>
          <xdr:cNvPr id="39948" name="Text Box 12"/>
          <xdr:cNvSpPr txBox="1">
            <a:spLocks noChangeArrowheads="1"/>
          </xdr:cNvSpPr>
        </xdr:nvSpPr>
        <xdr:spPr bwMode="auto">
          <a:xfrm>
            <a:off x="787" y="562"/>
            <a:ext cx="16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ML</a:t>
            </a:r>
          </a:p>
        </xdr:txBody>
      </xdr:sp>
      <xdr:sp macro="" textlink="">
        <xdr:nvSpPr>
          <xdr:cNvPr id="39949" name="Text Box 13"/>
          <xdr:cNvSpPr txBox="1">
            <a:spLocks noChangeArrowheads="1"/>
          </xdr:cNvSpPr>
        </xdr:nvSpPr>
        <xdr:spPr bwMode="auto">
          <a:xfrm>
            <a:off x="1034" y="435"/>
            <a:ext cx="5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Línea A</a:t>
            </a:r>
          </a:p>
        </xdr:txBody>
      </xdr:sp>
      <xdr:sp macro="" textlink="">
        <xdr:nvSpPr>
          <xdr:cNvPr id="39950" name="Text Box 14"/>
          <xdr:cNvSpPr txBox="1">
            <a:spLocks noChangeArrowheads="1"/>
          </xdr:cNvSpPr>
        </xdr:nvSpPr>
        <xdr:spPr bwMode="auto">
          <a:xfrm>
            <a:off x="867" y="401"/>
            <a:ext cx="5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Línea B</a:t>
            </a:r>
          </a:p>
        </xdr:txBody>
      </xdr:sp>
    </xdr:grpSp>
    <xdr:clientData/>
  </xdr:twoCellAnchor>
  <xdr:twoCellAnchor>
    <xdr:from>
      <xdr:col>9</xdr:col>
      <xdr:colOff>28575</xdr:colOff>
      <xdr:row>38</xdr:row>
      <xdr:rowOff>114300</xdr:rowOff>
    </xdr:from>
    <xdr:to>
      <xdr:col>16</xdr:col>
      <xdr:colOff>47625</xdr:colOff>
      <xdr:row>56</xdr:row>
      <xdr:rowOff>28575</xdr:rowOff>
    </xdr:to>
    <xdr:grpSp>
      <xdr:nvGrpSpPr>
        <xdr:cNvPr id="40273" name="Group 38"/>
        <xdr:cNvGrpSpPr>
          <a:grpSpLocks/>
        </xdr:cNvGrpSpPr>
      </xdr:nvGrpSpPr>
      <xdr:grpSpPr bwMode="auto">
        <a:xfrm>
          <a:off x="6537325" y="6353175"/>
          <a:ext cx="4083050" cy="2851150"/>
          <a:chOff x="688" y="672"/>
          <a:chExt cx="425" cy="299"/>
        </a:xfrm>
      </xdr:grpSpPr>
      <xdr:graphicFrame macro="">
        <xdr:nvGraphicFramePr>
          <xdr:cNvPr id="40274" name="Chart 30"/>
          <xdr:cNvGraphicFramePr>
            <a:graphicFrameLocks/>
          </xdr:cNvGraphicFramePr>
        </xdr:nvGraphicFramePr>
        <xdr:xfrm>
          <a:off x="688" y="672"/>
          <a:ext cx="425" cy="2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39967" name="Text Box 31"/>
          <xdr:cNvSpPr txBox="1">
            <a:spLocks noChangeArrowheads="1"/>
          </xdr:cNvSpPr>
        </xdr:nvSpPr>
        <xdr:spPr bwMode="auto">
          <a:xfrm>
            <a:off x="973" y="731"/>
            <a:ext cx="119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Suelo no colapsable</a:t>
            </a:r>
          </a:p>
        </xdr:txBody>
      </xdr:sp>
      <xdr:sp macro="" textlink="">
        <xdr:nvSpPr>
          <xdr:cNvPr id="39968" name="Text Box 32"/>
          <xdr:cNvSpPr txBox="1">
            <a:spLocks noChangeArrowheads="1"/>
          </xdr:cNvSpPr>
        </xdr:nvSpPr>
        <xdr:spPr bwMode="auto">
          <a:xfrm>
            <a:off x="763" y="886"/>
            <a:ext cx="10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Suelo colapsable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895350</xdr:colOff>
          <xdr:row>49</xdr:row>
          <xdr:rowOff>9525</xdr:rowOff>
        </xdr:from>
        <xdr:to>
          <xdr:col>5</xdr:col>
          <xdr:colOff>438150</xdr:colOff>
          <xdr:row>91</xdr:row>
          <xdr:rowOff>66675</xdr:rowOff>
        </xdr:to>
        <xdr:sp macro="" textlink="">
          <xdr:nvSpPr>
            <xdr:cNvPr id="39979" name="Object 43" hidden="1">
              <a:extLst>
                <a:ext uri="{63B3BB69-23CF-44E3-9099-C40C66FF867C}">
                  <a14:compatExt spid="_x0000_s39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9525</xdr:rowOff>
    </xdr:from>
    <xdr:to>
      <xdr:col>1</xdr:col>
      <xdr:colOff>5400675</xdr:colOff>
      <xdr:row>8</xdr:row>
      <xdr:rowOff>9525</xdr:rowOff>
    </xdr:to>
    <xdr:sp macro="" textlink="">
      <xdr:nvSpPr>
        <xdr:cNvPr id="49267" name="Line 1025"/>
        <xdr:cNvSpPr>
          <a:spLocks noChangeShapeType="1"/>
        </xdr:cNvSpPr>
      </xdr:nvSpPr>
      <xdr:spPr bwMode="auto">
        <a:xfrm>
          <a:off x="390525" y="1609725"/>
          <a:ext cx="54006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152400</xdr:colOff>
      <xdr:row>11</xdr:row>
      <xdr:rowOff>0</xdr:rowOff>
    </xdr:from>
    <xdr:to>
      <xdr:col>1</xdr:col>
      <xdr:colOff>4648200</xdr:colOff>
      <xdr:row>11</xdr:row>
      <xdr:rowOff>0</xdr:rowOff>
    </xdr:to>
    <xdr:sp macro="" textlink="">
      <xdr:nvSpPr>
        <xdr:cNvPr id="49268" name="Line 1026"/>
        <xdr:cNvSpPr>
          <a:spLocks noChangeShapeType="1"/>
        </xdr:cNvSpPr>
      </xdr:nvSpPr>
      <xdr:spPr bwMode="auto">
        <a:xfrm>
          <a:off x="542925" y="2190750"/>
          <a:ext cx="4495800" cy="0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152400</xdr:colOff>
      <xdr:row>19</xdr:row>
      <xdr:rowOff>0</xdr:rowOff>
    </xdr:from>
    <xdr:to>
      <xdr:col>1</xdr:col>
      <xdr:colOff>4648200</xdr:colOff>
      <xdr:row>19</xdr:row>
      <xdr:rowOff>0</xdr:rowOff>
    </xdr:to>
    <xdr:sp macro="" textlink="">
      <xdr:nvSpPr>
        <xdr:cNvPr id="49269" name="Line 1027"/>
        <xdr:cNvSpPr>
          <a:spLocks noChangeShapeType="1"/>
        </xdr:cNvSpPr>
      </xdr:nvSpPr>
      <xdr:spPr bwMode="auto">
        <a:xfrm>
          <a:off x="542925" y="3838575"/>
          <a:ext cx="4495800" cy="0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152400</xdr:colOff>
      <xdr:row>46</xdr:row>
      <xdr:rowOff>228600</xdr:rowOff>
    </xdr:from>
    <xdr:to>
      <xdr:col>1</xdr:col>
      <xdr:colOff>4648200</xdr:colOff>
      <xdr:row>46</xdr:row>
      <xdr:rowOff>228600</xdr:rowOff>
    </xdr:to>
    <xdr:sp macro="" textlink="">
      <xdr:nvSpPr>
        <xdr:cNvPr id="49270" name="Line 1028"/>
        <xdr:cNvSpPr>
          <a:spLocks noChangeShapeType="1"/>
        </xdr:cNvSpPr>
      </xdr:nvSpPr>
      <xdr:spPr bwMode="auto">
        <a:xfrm>
          <a:off x="542925" y="12496800"/>
          <a:ext cx="4495800" cy="0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152400</xdr:colOff>
      <xdr:row>25</xdr:row>
      <xdr:rowOff>0</xdr:rowOff>
    </xdr:from>
    <xdr:to>
      <xdr:col>1</xdr:col>
      <xdr:colOff>4648200</xdr:colOff>
      <xdr:row>25</xdr:row>
      <xdr:rowOff>0</xdr:rowOff>
    </xdr:to>
    <xdr:sp macro="" textlink="">
      <xdr:nvSpPr>
        <xdr:cNvPr id="49271" name="Line 1029"/>
        <xdr:cNvSpPr>
          <a:spLocks noChangeShapeType="1"/>
        </xdr:cNvSpPr>
      </xdr:nvSpPr>
      <xdr:spPr bwMode="auto">
        <a:xfrm>
          <a:off x="542925" y="5038725"/>
          <a:ext cx="4495800" cy="0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152400</xdr:colOff>
      <xdr:row>36</xdr:row>
      <xdr:rowOff>0</xdr:rowOff>
    </xdr:from>
    <xdr:to>
      <xdr:col>1</xdr:col>
      <xdr:colOff>4648200</xdr:colOff>
      <xdr:row>36</xdr:row>
      <xdr:rowOff>0</xdr:rowOff>
    </xdr:to>
    <xdr:sp macro="" textlink="">
      <xdr:nvSpPr>
        <xdr:cNvPr id="49272" name="Line 1030"/>
        <xdr:cNvSpPr>
          <a:spLocks noChangeShapeType="1"/>
        </xdr:cNvSpPr>
      </xdr:nvSpPr>
      <xdr:spPr bwMode="auto">
        <a:xfrm>
          <a:off x="542925" y="9467850"/>
          <a:ext cx="4495800" cy="0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inco/AppData/Local/Temp/Temp1_jgb-granulometria.zip/jgb-v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/Informes/BANCOS%20Y%20MEZCLAS%20DE%20CONTROL/CLASIFICACION%20DE%20SUELOS%20(JGB)/7030-%20Banco%20el%20profe%20y%20La%20Ve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Condición cimentación"/>
      <sheetName val="pilares"/>
      <sheetName val="Distorsión angular cohesivos"/>
      <sheetName val="Profundidad desplante"/>
      <sheetName val="N30 vs. Rd"/>
      <sheetName val="Q en función s Mañá"/>
      <sheetName val="Hoja5"/>
      <sheetName val="Hoja1 (2)"/>
      <sheetName val="Hoja1"/>
      <sheetName val="Qadm y S granulares"/>
      <sheetName val="Hoja1 (4)"/>
      <sheetName val="Hoja1 (3)"/>
      <sheetName val="Terzaghi"/>
      <sheetName val="Hoja3"/>
      <sheetName val="Hoja2"/>
      <sheetName val="E rcs"/>
      <sheetName val="q en función s"/>
      <sheetName val="Indices"/>
      <sheetName val="Clasificación de suelos"/>
      <sheetName val="jgb-varios"/>
    </sheetNames>
    <definedNames>
      <definedName name="Clasific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idad"/>
      <sheetName val="Granul.."/>
      <sheetName val="Límites"/>
    </sheetNames>
    <sheetDataSet>
      <sheetData sheetId="0" refreshError="1"/>
      <sheetData sheetId="1">
        <row r="17">
          <cell r="E17">
            <v>97.57709251101322</v>
          </cell>
        </row>
        <row r="18">
          <cell r="E18">
            <v>95.594713656387668</v>
          </cell>
        </row>
        <row r="19">
          <cell r="E19">
            <v>89.867841409691636</v>
          </cell>
        </row>
        <row r="20">
          <cell r="E20">
            <v>82.378854625550673</v>
          </cell>
        </row>
        <row r="21">
          <cell r="E21">
            <v>74.889867841409711</v>
          </cell>
        </row>
        <row r="22">
          <cell r="E22">
            <v>67.400881057268748</v>
          </cell>
        </row>
        <row r="23">
          <cell r="E23">
            <v>61.89427312775333</v>
          </cell>
        </row>
        <row r="28">
          <cell r="E28">
            <v>47.123823788546268</v>
          </cell>
        </row>
        <row r="29">
          <cell r="E29">
            <v>41.998977973568302</v>
          </cell>
        </row>
        <row r="30">
          <cell r="E30">
            <v>38.186290748898692</v>
          </cell>
        </row>
        <row r="32">
          <cell r="E32">
            <v>33.378343612334817</v>
          </cell>
        </row>
        <row r="33">
          <cell r="E33">
            <v>28.69913656387666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eologo@jordigonzalezboada.com" TargetMode="External"/><Relationship Id="rId1" Type="http://schemas.openxmlformats.org/officeDocument/2006/relationships/hyperlink" Target="http://www.jordigonzalezboada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.xml"/><Relationship Id="rId5" Type="http://schemas.openxmlformats.org/officeDocument/2006/relationships/image" Target="../media/image2.w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3.xml"/><Relationship Id="rId5" Type="http://schemas.openxmlformats.org/officeDocument/2006/relationships/image" Target="../media/image4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geologo@jordigonzalezboada.com" TargetMode="External"/><Relationship Id="rId2" Type="http://schemas.openxmlformats.org/officeDocument/2006/relationships/hyperlink" Target="http://www.jordigonzalezboada.com/" TargetMode="External"/><Relationship Id="rId1" Type="http://schemas.openxmlformats.org/officeDocument/2006/relationships/hyperlink" Target="mailto:geologo@jordigonzalezboada.com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33"/>
  <sheetViews>
    <sheetView workbookViewId="0">
      <selection activeCell="E2" sqref="E2"/>
    </sheetView>
  </sheetViews>
  <sheetFormatPr baseColWidth="10" defaultColWidth="9.140625" defaultRowHeight="12.75"/>
  <cols>
    <col min="1" max="1" width="3" style="1" customWidth="1"/>
    <col min="2" max="2" width="25.28515625" style="1" bestFit="1" customWidth="1"/>
    <col min="3" max="7" width="9.140625" style="1" customWidth="1"/>
    <col min="8" max="8" width="30.85546875" style="1" customWidth="1"/>
    <col min="9" max="9" width="3" style="1" customWidth="1"/>
    <col min="10" max="16384" width="9.140625" style="1"/>
  </cols>
  <sheetData>
    <row r="10" spans="2:5">
      <c r="B10" s="1" t="s">
        <v>202</v>
      </c>
      <c r="C10" s="86"/>
      <c r="D10" s="67"/>
      <c r="E10" s="67"/>
    </row>
    <row r="11" spans="2:5">
      <c r="C11" s="86"/>
      <c r="D11" s="67"/>
      <c r="E11" s="67"/>
    </row>
    <row r="12" spans="2:5">
      <c r="B12" s="1" t="s">
        <v>270</v>
      </c>
      <c r="C12" s="67"/>
      <c r="D12" s="67"/>
      <c r="E12" s="67"/>
    </row>
    <row r="13" spans="2:5">
      <c r="B13" s="1" t="s">
        <v>203</v>
      </c>
      <c r="C13" s="86"/>
      <c r="D13" s="67"/>
      <c r="E13" s="67"/>
    </row>
    <row r="14" spans="2:5">
      <c r="C14" s="86"/>
      <c r="D14" s="67"/>
      <c r="E14" s="67"/>
    </row>
    <row r="15" spans="2:5">
      <c r="B15" s="1" t="s">
        <v>204</v>
      </c>
      <c r="C15" s="67"/>
      <c r="D15" s="67"/>
      <c r="E15" s="67"/>
    </row>
    <row r="16" spans="2:5">
      <c r="B16" s="1" t="s">
        <v>205</v>
      </c>
    </row>
    <row r="18" spans="1:9">
      <c r="B18" s="1" t="s">
        <v>268</v>
      </c>
    </row>
    <row r="19" spans="1:9">
      <c r="B19" s="1" t="s">
        <v>269</v>
      </c>
    </row>
    <row r="21" spans="1:9">
      <c r="C21" s="9"/>
      <c r="D21" s="9"/>
      <c r="E21" s="9"/>
    </row>
    <row r="22" spans="1:9" s="75" customFormat="1">
      <c r="A22" s="1"/>
      <c r="B22" s="1"/>
      <c r="C22" s="1"/>
      <c r="D22" s="1"/>
      <c r="E22" s="1"/>
      <c r="F22" s="1"/>
      <c r="G22" s="1"/>
      <c r="H22" s="1"/>
      <c r="I22" s="1"/>
    </row>
    <row r="23" spans="1:9" s="75" customFormat="1" ht="13.5" thickBot="1">
      <c r="A23" s="1"/>
      <c r="B23" s="1"/>
      <c r="C23" s="1"/>
      <c r="D23" s="1"/>
      <c r="E23" s="1"/>
      <c r="F23" s="1"/>
      <c r="G23" s="1"/>
      <c r="H23" s="1"/>
      <c r="I23" s="1"/>
    </row>
    <row r="24" spans="1:9" ht="13.5" thickBot="1">
      <c r="B24" s="248" t="s">
        <v>206</v>
      </c>
      <c r="H24" s="249"/>
    </row>
    <row r="25" spans="1:9" ht="6" customHeight="1">
      <c r="H25" s="249"/>
    </row>
    <row r="26" spans="1:9">
      <c r="B26" s="250" t="s">
        <v>207</v>
      </c>
      <c r="H26" s="3" t="s">
        <v>208</v>
      </c>
    </row>
    <row r="27" spans="1:9">
      <c r="B27" s="250" t="s">
        <v>209</v>
      </c>
      <c r="H27" s="3" t="s">
        <v>214</v>
      </c>
    </row>
    <row r="28" spans="1:9">
      <c r="B28" s="250" t="s">
        <v>210</v>
      </c>
      <c r="H28" s="3"/>
    </row>
    <row r="29" spans="1:9">
      <c r="B29" s="250" t="s">
        <v>211</v>
      </c>
      <c r="H29" s="251" t="s">
        <v>215</v>
      </c>
    </row>
    <row r="30" spans="1:9">
      <c r="B30" s="250" t="s">
        <v>212</v>
      </c>
      <c r="H30" s="251" t="s">
        <v>213</v>
      </c>
    </row>
    <row r="31" spans="1:9" ht="6" customHeight="1" thickBot="1">
      <c r="B31" s="250"/>
      <c r="H31" s="252"/>
    </row>
    <row r="32" spans="1:9" ht="13.5" thickBot="1">
      <c r="B32" s="250"/>
      <c r="H32" s="252"/>
    </row>
    <row r="33" ht="12.75" customHeight="1"/>
  </sheetData>
  <sheetProtection password="CC53" sheet="1" objects="1" scenarios="1"/>
  <phoneticPr fontId="0" type="noConversion"/>
  <hyperlinks>
    <hyperlink ref="H30" r:id="rId1"/>
    <hyperlink ref="H29" r:id="rId2"/>
  </hyperlinks>
  <printOptions horizontalCentered="1"/>
  <pageMargins left="0.39370078740157483" right="0.39370078740157483" top="0.59055118110236227" bottom="0.59055118110236227" header="0.39370078740157483" footer="0.39370078740157483"/>
  <pageSetup paperSize="9" scale="75" orientation="portrait" horizontalDpi="355" verticalDpi="464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Datos"/>
  <dimension ref="B1:AB51"/>
  <sheetViews>
    <sheetView view="pageBreakPreview" zoomScale="90" zoomScaleNormal="100" zoomScaleSheetLayoutView="90" workbookViewId="0">
      <selection activeCell="G17" sqref="G17"/>
    </sheetView>
  </sheetViews>
  <sheetFormatPr baseColWidth="10" defaultRowHeight="12.75"/>
  <cols>
    <col min="1" max="1" width="3" style="1" customWidth="1"/>
    <col min="2" max="2" width="12.5703125" style="1" customWidth="1"/>
    <col min="3" max="3" width="11.140625" style="1" customWidth="1"/>
    <col min="4" max="4" width="9.140625" style="1" customWidth="1"/>
    <col min="5" max="5" width="12.85546875" style="1" bestFit="1" customWidth="1"/>
    <col min="6" max="6" width="18.5703125" style="1" bestFit="1" customWidth="1"/>
    <col min="7" max="7" width="17.85546875" style="1" customWidth="1"/>
    <col min="8" max="9" width="11.42578125" style="1"/>
    <col min="10" max="11" width="3" style="1" customWidth="1"/>
    <col min="12" max="12" width="20.85546875" style="1" bestFit="1" customWidth="1"/>
    <col min="13" max="14" width="9.28515625" style="1" customWidth="1"/>
    <col min="15" max="15" width="10.42578125" style="1" bestFit="1" customWidth="1"/>
    <col min="16" max="19" width="7.42578125" style="1" customWidth="1"/>
    <col min="20" max="22" width="7.140625" style="1" bestFit="1" customWidth="1"/>
    <col min="23" max="23" width="9.140625" style="1" bestFit="1" customWidth="1"/>
    <col min="24" max="24" width="5.7109375" style="1" customWidth="1"/>
    <col min="25" max="25" width="11.42578125" style="1"/>
    <col min="26" max="26" width="21.42578125" style="1" customWidth="1"/>
    <col min="27" max="16384" width="11.42578125" style="1"/>
  </cols>
  <sheetData>
    <row r="1" spans="2:25">
      <c r="N1" s="9"/>
      <c r="Y1" s="9"/>
    </row>
    <row r="2" spans="2:25" ht="18">
      <c r="C2" s="24" t="s">
        <v>3</v>
      </c>
      <c r="N2" s="25" t="s">
        <v>4</v>
      </c>
      <c r="Y2" s="9"/>
    </row>
    <row r="3" spans="2:25" ht="13.5" thickBot="1">
      <c r="Y3" s="9"/>
    </row>
    <row r="4" spans="2:25">
      <c r="B4" s="26"/>
      <c r="C4" s="22" t="s">
        <v>5</v>
      </c>
      <c r="D4" s="23"/>
      <c r="E4" s="11" t="s">
        <v>6</v>
      </c>
      <c r="F4" s="11" t="s">
        <v>7</v>
      </c>
      <c r="G4" s="286" t="s">
        <v>8</v>
      </c>
      <c r="H4" s="287"/>
      <c r="I4" s="288"/>
      <c r="L4" s="11" t="s">
        <v>9</v>
      </c>
      <c r="M4" s="318" t="s">
        <v>10</v>
      </c>
      <c r="N4" s="319"/>
      <c r="O4" s="319"/>
      <c r="P4" s="319"/>
      <c r="Q4" s="319"/>
      <c r="R4" s="319"/>
      <c r="S4" s="320"/>
      <c r="T4" s="318" t="s">
        <v>11</v>
      </c>
      <c r="U4" s="319"/>
      <c r="V4" s="319"/>
      <c r="W4" s="320"/>
      <c r="Y4" s="9"/>
    </row>
    <row r="5" spans="2:25" ht="13.5" thickBot="1">
      <c r="B5" s="19"/>
      <c r="C5" s="20" t="s">
        <v>12</v>
      </c>
      <c r="D5" s="21"/>
      <c r="E5" s="12" t="s">
        <v>13</v>
      </c>
      <c r="F5" s="12"/>
      <c r="G5" s="68"/>
      <c r="H5" s="69"/>
      <c r="I5" s="70"/>
      <c r="L5" s="27" t="s">
        <v>14</v>
      </c>
      <c r="M5" s="292" t="s">
        <v>15</v>
      </c>
      <c r="N5" s="293"/>
      <c r="O5" s="293"/>
      <c r="P5" s="293"/>
      <c r="Q5" s="293"/>
      <c r="R5" s="293"/>
      <c r="S5" s="294"/>
      <c r="T5" s="292" t="s">
        <v>16</v>
      </c>
      <c r="U5" s="293"/>
      <c r="V5" s="293"/>
      <c r="W5" s="294"/>
      <c r="Y5" s="9"/>
    </row>
    <row r="6" spans="2:25" ht="12.75" customHeight="1" thickBot="1">
      <c r="B6" s="347" t="s">
        <v>17</v>
      </c>
      <c r="C6" s="28" t="s">
        <v>18</v>
      </c>
      <c r="D6" s="347" t="s">
        <v>19</v>
      </c>
      <c r="E6" s="333" t="s">
        <v>20</v>
      </c>
      <c r="F6" s="310" t="s">
        <v>21</v>
      </c>
      <c r="G6" s="310" t="s">
        <v>22</v>
      </c>
      <c r="H6" s="295" t="s">
        <v>200</v>
      </c>
      <c r="I6" s="296"/>
      <c r="L6" s="11"/>
      <c r="M6" s="301" t="s">
        <v>23</v>
      </c>
      <c r="N6" s="302"/>
      <c r="O6" s="29"/>
      <c r="P6" s="301"/>
      <c r="Q6" s="303"/>
      <c r="R6" s="303"/>
      <c r="S6" s="302"/>
      <c r="T6" s="29"/>
      <c r="U6" s="29"/>
      <c r="V6" s="29"/>
      <c r="W6" s="29" t="s">
        <v>24</v>
      </c>
      <c r="Y6" s="9"/>
    </row>
    <row r="7" spans="2:25" ht="12.75" customHeight="1">
      <c r="B7" s="348"/>
      <c r="C7" s="311" t="s">
        <v>25</v>
      </c>
      <c r="D7" s="348"/>
      <c r="E7" s="334"/>
      <c r="F7" s="311"/>
      <c r="G7" s="311"/>
      <c r="H7" s="297"/>
      <c r="I7" s="298"/>
      <c r="L7" s="27" t="s">
        <v>26</v>
      </c>
      <c r="M7" s="32" t="s">
        <v>27</v>
      </c>
      <c r="N7" s="29" t="s">
        <v>28</v>
      </c>
      <c r="O7" s="31" t="s">
        <v>29</v>
      </c>
      <c r="P7" s="29" t="s">
        <v>30</v>
      </c>
      <c r="Q7" s="29" t="s">
        <v>31</v>
      </c>
      <c r="R7" s="29" t="s">
        <v>32</v>
      </c>
      <c r="S7" s="29" t="s">
        <v>33</v>
      </c>
      <c r="T7" s="31" t="s">
        <v>34</v>
      </c>
      <c r="U7" s="31" t="s">
        <v>35</v>
      </c>
      <c r="V7" s="31" t="s">
        <v>36</v>
      </c>
      <c r="W7" s="31" t="s">
        <v>37</v>
      </c>
      <c r="Y7" s="9"/>
    </row>
    <row r="8" spans="2:25" ht="12.75" customHeight="1" thickBot="1">
      <c r="B8" s="348"/>
      <c r="C8" s="311"/>
      <c r="D8" s="311" t="s">
        <v>38</v>
      </c>
      <c r="E8" s="335"/>
      <c r="F8" s="312"/>
      <c r="G8" s="311"/>
      <c r="H8" s="299"/>
      <c r="I8" s="300"/>
      <c r="L8" s="12"/>
      <c r="M8" s="35"/>
      <c r="N8" s="33"/>
      <c r="O8" s="33"/>
      <c r="P8" s="33"/>
      <c r="Q8" s="33"/>
      <c r="R8" s="33"/>
      <c r="S8" s="33"/>
      <c r="T8" s="33"/>
      <c r="U8" s="33"/>
      <c r="V8" s="33"/>
      <c r="W8" s="33" t="s">
        <v>39</v>
      </c>
      <c r="Y8" s="9"/>
    </row>
    <row r="9" spans="2:25" ht="12.75" customHeight="1">
      <c r="B9" s="348"/>
      <c r="C9" s="311"/>
      <c r="D9" s="311"/>
      <c r="E9" s="333" t="s">
        <v>40</v>
      </c>
      <c r="F9" s="310" t="s">
        <v>41</v>
      </c>
      <c r="G9" s="311"/>
      <c r="H9" s="304" t="s">
        <v>42</v>
      </c>
      <c r="I9" s="305"/>
      <c r="L9" s="11" t="s">
        <v>43</v>
      </c>
      <c r="M9" s="36"/>
      <c r="N9" s="36"/>
      <c r="O9" s="36"/>
      <c r="P9" s="37"/>
      <c r="Q9" s="38"/>
      <c r="R9" s="38"/>
      <c r="S9" s="39"/>
      <c r="T9" s="313"/>
      <c r="U9" s="314"/>
      <c r="V9" s="314"/>
      <c r="W9" s="315"/>
      <c r="Y9" s="9"/>
    </row>
    <row r="10" spans="2:25">
      <c r="B10" s="348"/>
      <c r="C10" s="311"/>
      <c r="D10" s="311"/>
      <c r="E10" s="334"/>
      <c r="F10" s="311"/>
      <c r="G10" s="311"/>
      <c r="H10" s="306"/>
      <c r="I10" s="307"/>
      <c r="L10" s="27" t="s">
        <v>134</v>
      </c>
      <c r="M10" s="3" t="s">
        <v>135</v>
      </c>
      <c r="N10" s="3" t="s">
        <v>44</v>
      </c>
      <c r="O10" s="3" t="s">
        <v>44</v>
      </c>
      <c r="P10" s="289" t="s">
        <v>44</v>
      </c>
      <c r="Q10" s="290"/>
      <c r="R10" s="290"/>
      <c r="S10" s="291"/>
      <c r="T10" s="289" t="s">
        <v>44</v>
      </c>
      <c r="U10" s="290"/>
      <c r="V10" s="290"/>
      <c r="W10" s="291"/>
      <c r="Y10" s="9"/>
    </row>
    <row r="11" spans="2:25" ht="13.5" thickBot="1">
      <c r="B11" s="348"/>
      <c r="C11" s="311"/>
      <c r="D11" s="312"/>
      <c r="E11" s="335"/>
      <c r="F11" s="312"/>
      <c r="G11" s="311"/>
      <c r="H11" s="308"/>
      <c r="I11" s="309"/>
      <c r="L11" s="27" t="s">
        <v>45</v>
      </c>
      <c r="M11" s="3" t="s">
        <v>136</v>
      </c>
      <c r="N11" s="3" t="s">
        <v>135</v>
      </c>
      <c r="O11" s="3" t="s">
        <v>143</v>
      </c>
      <c r="P11" s="289" t="s">
        <v>44</v>
      </c>
      <c r="Q11" s="290"/>
      <c r="R11" s="290"/>
      <c r="S11" s="291"/>
      <c r="T11" s="289" t="s">
        <v>44</v>
      </c>
      <c r="U11" s="290"/>
      <c r="V11" s="290"/>
      <c r="W11" s="291"/>
      <c r="Y11" s="9"/>
    </row>
    <row r="12" spans="2:25" ht="13.5" customHeight="1" thickBot="1">
      <c r="B12" s="348"/>
      <c r="C12" s="311"/>
      <c r="D12" s="347" t="s">
        <v>46</v>
      </c>
      <c r="E12" s="333" t="s">
        <v>47</v>
      </c>
      <c r="F12" s="310" t="s">
        <v>48</v>
      </c>
      <c r="G12" s="311"/>
      <c r="H12" s="324" t="s">
        <v>49</v>
      </c>
      <c r="I12" s="310" t="s">
        <v>50</v>
      </c>
      <c r="L12" s="12" t="s">
        <v>51</v>
      </c>
      <c r="M12" s="2" t="s">
        <v>137</v>
      </c>
      <c r="N12" s="2" t="s">
        <v>138</v>
      </c>
      <c r="O12" s="2" t="s">
        <v>139</v>
      </c>
      <c r="P12" s="292" t="s">
        <v>140</v>
      </c>
      <c r="Q12" s="293"/>
      <c r="R12" s="293"/>
      <c r="S12" s="294"/>
      <c r="T12" s="292" t="s">
        <v>52</v>
      </c>
      <c r="U12" s="293"/>
      <c r="V12" s="293"/>
      <c r="W12" s="294"/>
      <c r="Y12" s="9"/>
    </row>
    <row r="13" spans="2:25">
      <c r="B13" s="348"/>
      <c r="C13" s="311"/>
      <c r="D13" s="348"/>
      <c r="E13" s="334"/>
      <c r="F13" s="311"/>
      <c r="G13" s="311"/>
      <c r="H13" s="325"/>
      <c r="I13" s="311"/>
      <c r="L13" s="11" t="s">
        <v>53</v>
      </c>
      <c r="M13" s="37"/>
      <c r="N13" s="39"/>
      <c r="O13" s="36"/>
      <c r="P13" s="36"/>
      <c r="Q13" s="36"/>
      <c r="R13" s="36"/>
      <c r="S13" s="36"/>
      <c r="T13" s="36"/>
      <c r="U13" s="36"/>
      <c r="V13" s="36"/>
      <c r="W13" s="36"/>
      <c r="Y13" s="9"/>
    </row>
    <row r="14" spans="2:25" ht="13.5" customHeight="1" thickBot="1">
      <c r="B14" s="311" t="s">
        <v>54</v>
      </c>
      <c r="C14" s="311"/>
      <c r="D14" s="311" t="s">
        <v>55</v>
      </c>
      <c r="E14" s="335"/>
      <c r="F14" s="312"/>
      <c r="G14" s="311"/>
      <c r="H14" s="326"/>
      <c r="I14" s="311"/>
      <c r="L14" s="27" t="s">
        <v>56</v>
      </c>
      <c r="M14" s="40"/>
      <c r="N14" s="6"/>
      <c r="O14" s="3"/>
      <c r="P14" s="3"/>
      <c r="Q14" s="3"/>
      <c r="R14" s="3"/>
      <c r="S14" s="3"/>
      <c r="T14" s="3"/>
      <c r="U14" s="3"/>
      <c r="V14" s="3"/>
      <c r="W14" s="3"/>
      <c r="Y14" s="9"/>
    </row>
    <row r="15" spans="2:25" ht="12.75" customHeight="1">
      <c r="B15" s="311"/>
      <c r="C15" s="311"/>
      <c r="D15" s="311"/>
      <c r="E15" s="333" t="s">
        <v>57</v>
      </c>
      <c r="F15" s="310" t="s">
        <v>58</v>
      </c>
      <c r="G15" s="30"/>
      <c r="H15" s="324" t="s">
        <v>59</v>
      </c>
      <c r="I15" s="311"/>
      <c r="L15" s="27" t="s">
        <v>60</v>
      </c>
      <c r="M15" s="40"/>
      <c r="N15" s="6"/>
      <c r="O15" s="3"/>
      <c r="P15" s="3"/>
      <c r="Q15" s="3"/>
      <c r="R15" s="3"/>
      <c r="S15" s="3"/>
      <c r="T15" s="3"/>
      <c r="U15" s="3"/>
      <c r="V15" s="3"/>
      <c r="W15" s="3"/>
      <c r="Y15" s="9"/>
    </row>
    <row r="16" spans="2:25">
      <c r="B16" s="311"/>
      <c r="C16" s="311"/>
      <c r="D16" s="311"/>
      <c r="E16" s="334"/>
      <c r="F16" s="311"/>
      <c r="G16" s="30"/>
      <c r="H16" s="325"/>
      <c r="I16" s="311"/>
      <c r="L16" s="27" t="s">
        <v>61</v>
      </c>
      <c r="M16" s="289" t="s">
        <v>44</v>
      </c>
      <c r="N16" s="291"/>
      <c r="O16" s="3" t="s">
        <v>44</v>
      </c>
      <c r="P16" s="3" t="s">
        <v>142</v>
      </c>
      <c r="Q16" s="3" t="s">
        <v>144</v>
      </c>
      <c r="R16" s="3" t="s">
        <v>142</v>
      </c>
      <c r="S16" s="3" t="s">
        <v>144</v>
      </c>
      <c r="T16" s="3" t="s">
        <v>142</v>
      </c>
      <c r="U16" s="3" t="s">
        <v>144</v>
      </c>
      <c r="V16" s="3" t="s">
        <v>142</v>
      </c>
      <c r="W16" s="3" t="s">
        <v>146</v>
      </c>
      <c r="Y16" s="9"/>
    </row>
    <row r="17" spans="2:28" ht="13.5" thickBot="1">
      <c r="B17" s="311"/>
      <c r="C17" s="312"/>
      <c r="D17" s="312"/>
      <c r="E17" s="335"/>
      <c r="F17" s="312"/>
      <c r="G17" s="30"/>
      <c r="H17" s="326"/>
      <c r="I17" s="312"/>
      <c r="L17" s="12" t="s">
        <v>0</v>
      </c>
      <c r="M17" s="292" t="s">
        <v>141</v>
      </c>
      <c r="N17" s="294"/>
      <c r="O17" s="2" t="s">
        <v>114</v>
      </c>
      <c r="P17" s="2" t="s">
        <v>139</v>
      </c>
      <c r="Q17" s="2" t="s">
        <v>139</v>
      </c>
      <c r="R17" s="2" t="s">
        <v>145</v>
      </c>
      <c r="S17" s="2" t="s">
        <v>145</v>
      </c>
      <c r="T17" s="2" t="s">
        <v>139</v>
      </c>
      <c r="U17" s="2" t="s">
        <v>139</v>
      </c>
      <c r="V17" s="2" t="s">
        <v>145</v>
      </c>
      <c r="W17" s="2" t="s">
        <v>145</v>
      </c>
      <c r="Y17" s="9"/>
    </row>
    <row r="18" spans="2:28" ht="12.75" customHeight="1">
      <c r="B18" s="311"/>
      <c r="C18" s="28" t="s">
        <v>62</v>
      </c>
      <c r="D18" s="347" t="s">
        <v>63</v>
      </c>
      <c r="E18" s="333" t="s">
        <v>64</v>
      </c>
      <c r="F18" s="310" t="s">
        <v>65</v>
      </c>
      <c r="G18" s="30" t="s">
        <v>66</v>
      </c>
      <c r="H18" s="295" t="s">
        <v>201</v>
      </c>
      <c r="I18" s="296"/>
      <c r="L18" s="11" t="s">
        <v>67</v>
      </c>
      <c r="M18" s="318" t="s">
        <v>68</v>
      </c>
      <c r="N18" s="320"/>
      <c r="O18" s="316" t="s">
        <v>69</v>
      </c>
      <c r="P18" s="318" t="s">
        <v>70</v>
      </c>
      <c r="Q18" s="319"/>
      <c r="R18" s="319"/>
      <c r="S18" s="320"/>
      <c r="T18" s="318" t="s">
        <v>71</v>
      </c>
      <c r="U18" s="320"/>
      <c r="V18" s="318" t="s">
        <v>72</v>
      </c>
      <c r="W18" s="320"/>
      <c r="Y18" s="9"/>
    </row>
    <row r="19" spans="2:28" ht="13.5" customHeight="1" thickBot="1">
      <c r="B19" s="311"/>
      <c r="C19" s="311" t="s">
        <v>73</v>
      </c>
      <c r="D19" s="348"/>
      <c r="E19" s="334"/>
      <c r="F19" s="311"/>
      <c r="G19" s="30"/>
      <c r="H19" s="297"/>
      <c r="I19" s="298"/>
      <c r="L19" s="12" t="s">
        <v>74</v>
      </c>
      <c r="M19" s="321" t="s">
        <v>75</v>
      </c>
      <c r="N19" s="323"/>
      <c r="O19" s="317"/>
      <c r="P19" s="321"/>
      <c r="Q19" s="322"/>
      <c r="R19" s="322"/>
      <c r="S19" s="323"/>
      <c r="T19" s="321"/>
      <c r="U19" s="323"/>
      <c r="V19" s="321"/>
      <c r="W19" s="323"/>
      <c r="Y19" s="9"/>
    </row>
    <row r="20" spans="2:28" ht="12.75" customHeight="1" thickBot="1">
      <c r="B20" s="311"/>
      <c r="C20" s="311"/>
      <c r="D20" s="311" t="s">
        <v>76</v>
      </c>
      <c r="E20" s="335"/>
      <c r="F20" s="312"/>
      <c r="G20" s="30" t="s">
        <v>127</v>
      </c>
      <c r="H20" s="299"/>
      <c r="I20" s="300"/>
      <c r="L20" s="11" t="s">
        <v>77</v>
      </c>
      <c r="M20" s="313" t="s">
        <v>78</v>
      </c>
      <c r="N20" s="314"/>
      <c r="O20" s="314"/>
      <c r="P20" s="314"/>
      <c r="Q20" s="314"/>
      <c r="R20" s="314"/>
      <c r="S20" s="315"/>
      <c r="T20" s="313" t="s">
        <v>79</v>
      </c>
      <c r="U20" s="314"/>
      <c r="V20" s="314"/>
      <c r="W20" s="315"/>
      <c r="Y20" s="9"/>
    </row>
    <row r="21" spans="2:28" ht="13.5" customHeight="1" thickBot="1">
      <c r="B21" s="311"/>
      <c r="C21" s="311"/>
      <c r="D21" s="311"/>
      <c r="E21" s="333" t="s">
        <v>80</v>
      </c>
      <c r="F21" s="310" t="s">
        <v>81</v>
      </c>
      <c r="G21" s="30"/>
      <c r="H21" s="304" t="s">
        <v>82</v>
      </c>
      <c r="I21" s="305"/>
      <c r="L21" s="12" t="s">
        <v>83</v>
      </c>
      <c r="M21" s="292"/>
      <c r="N21" s="293"/>
      <c r="O21" s="293"/>
      <c r="P21" s="293"/>
      <c r="Q21" s="293"/>
      <c r="R21" s="293"/>
      <c r="S21" s="294"/>
      <c r="T21" s="292"/>
      <c r="U21" s="293"/>
      <c r="V21" s="293"/>
      <c r="W21" s="294"/>
      <c r="Y21" s="9"/>
    </row>
    <row r="22" spans="2:28" ht="12.75" customHeight="1">
      <c r="B22" s="311"/>
      <c r="C22" s="311"/>
      <c r="D22" s="311"/>
      <c r="E22" s="334"/>
      <c r="F22" s="311"/>
      <c r="G22" s="311" t="s">
        <v>84</v>
      </c>
      <c r="H22" s="306"/>
      <c r="I22" s="307"/>
      <c r="L22" s="41" t="s">
        <v>85</v>
      </c>
      <c r="M22" s="42" t="s">
        <v>86</v>
      </c>
      <c r="Z22" s="9"/>
      <c r="AA22" s="9"/>
      <c r="AB22" s="9"/>
    </row>
    <row r="23" spans="2:28" ht="13.5" thickBot="1">
      <c r="B23" s="311"/>
      <c r="C23" s="311"/>
      <c r="D23" s="312"/>
      <c r="E23" s="335"/>
      <c r="F23" s="312"/>
      <c r="G23" s="311"/>
      <c r="H23" s="308"/>
      <c r="I23" s="309"/>
      <c r="L23" s="41" t="s">
        <v>87</v>
      </c>
      <c r="M23" s="42" t="s">
        <v>182</v>
      </c>
      <c r="N23" s="74"/>
      <c r="O23" s="74"/>
      <c r="P23" s="74"/>
      <c r="Q23" s="74"/>
      <c r="R23" s="74"/>
      <c r="S23" s="74"/>
      <c r="T23" s="42"/>
      <c r="U23" s="74"/>
    </row>
    <row r="24" spans="2:28" ht="12.75" customHeight="1">
      <c r="B24" s="311"/>
      <c r="C24" s="311"/>
      <c r="D24" s="347" t="s">
        <v>88</v>
      </c>
      <c r="E24" s="333" t="s">
        <v>89</v>
      </c>
      <c r="F24" s="310" t="s">
        <v>90</v>
      </c>
      <c r="G24" s="311"/>
      <c r="H24" s="324" t="s">
        <v>49</v>
      </c>
      <c r="I24" s="310" t="s">
        <v>91</v>
      </c>
      <c r="L24" s="42"/>
      <c r="M24" s="42" t="s">
        <v>183</v>
      </c>
      <c r="N24" s="74"/>
      <c r="O24" s="74"/>
      <c r="P24" s="74"/>
      <c r="Q24" s="74"/>
      <c r="R24" s="74"/>
      <c r="S24" s="74"/>
      <c r="T24" s="42"/>
      <c r="U24" s="74"/>
    </row>
    <row r="25" spans="2:28">
      <c r="B25" s="311"/>
      <c r="C25" s="311"/>
      <c r="D25" s="348"/>
      <c r="E25" s="334"/>
      <c r="F25" s="311"/>
      <c r="H25" s="325"/>
      <c r="I25" s="311"/>
      <c r="L25" s="43"/>
      <c r="M25" s="74"/>
      <c r="N25" s="74"/>
      <c r="O25" s="74"/>
      <c r="P25" s="74"/>
      <c r="Q25" s="74"/>
      <c r="R25" s="74"/>
      <c r="S25" s="74"/>
      <c r="T25" s="74"/>
      <c r="U25" s="74"/>
      <c r="V25" s="43"/>
      <c r="W25" s="43"/>
      <c r="X25" s="43"/>
    </row>
    <row r="26" spans="2:28" ht="12.75" customHeight="1" thickBot="1">
      <c r="B26" s="311"/>
      <c r="C26" s="311"/>
      <c r="D26" s="311" t="s">
        <v>55</v>
      </c>
      <c r="E26" s="335"/>
      <c r="F26" s="312"/>
      <c r="H26" s="326"/>
      <c r="I26" s="311"/>
    </row>
    <row r="27" spans="2:28" ht="12.75" customHeight="1">
      <c r="B27" s="311"/>
      <c r="C27" s="311"/>
      <c r="D27" s="311"/>
      <c r="E27" s="333" t="s">
        <v>92</v>
      </c>
      <c r="F27" s="310" t="s">
        <v>93</v>
      </c>
      <c r="H27" s="324" t="s">
        <v>59</v>
      </c>
      <c r="I27" s="311"/>
    </row>
    <row r="28" spans="2:28" ht="12.75" customHeight="1">
      <c r="B28" s="311"/>
      <c r="C28" s="311"/>
      <c r="D28" s="311"/>
      <c r="E28" s="334"/>
      <c r="F28" s="311"/>
      <c r="G28" s="30"/>
      <c r="H28" s="325"/>
      <c r="I28" s="311"/>
      <c r="L28"/>
    </row>
    <row r="29" spans="2:28" ht="13.5" thickBot="1">
      <c r="B29" s="312"/>
      <c r="C29" s="312"/>
      <c r="D29" s="312"/>
      <c r="E29" s="335"/>
      <c r="F29" s="312"/>
      <c r="G29" s="34"/>
      <c r="H29" s="326"/>
      <c r="I29" s="312"/>
    </row>
    <row r="30" spans="2:28" ht="12.75" customHeight="1">
      <c r="B30" s="347" t="s">
        <v>94</v>
      </c>
      <c r="C30" s="336" t="s">
        <v>95</v>
      </c>
      <c r="D30" s="337"/>
      <c r="E30" s="333" t="s">
        <v>96</v>
      </c>
      <c r="F30" s="324" t="s">
        <v>97</v>
      </c>
      <c r="G30" s="338"/>
      <c r="H30" s="339"/>
      <c r="I30" s="340"/>
    </row>
    <row r="31" spans="2:28" ht="12.75" customHeight="1">
      <c r="B31" s="348"/>
      <c r="C31" s="306" t="s">
        <v>98</v>
      </c>
      <c r="D31" s="307"/>
      <c r="E31" s="334"/>
      <c r="F31" s="325"/>
      <c r="G31" s="341"/>
      <c r="H31" s="342"/>
      <c r="I31" s="343"/>
    </row>
    <row r="32" spans="2:28">
      <c r="B32" s="348"/>
      <c r="C32" s="306"/>
      <c r="D32" s="307"/>
      <c r="E32" s="334"/>
      <c r="F32" s="325"/>
      <c r="G32" s="341"/>
      <c r="H32" s="342"/>
      <c r="I32" s="343"/>
    </row>
    <row r="33" spans="2:9" ht="13.5" thickBot="1">
      <c r="B33" s="348"/>
      <c r="C33" s="306"/>
      <c r="D33" s="307"/>
      <c r="E33" s="335"/>
      <c r="F33" s="326"/>
      <c r="G33" s="341"/>
      <c r="H33" s="342"/>
      <c r="I33" s="343"/>
    </row>
    <row r="34" spans="2:9" ht="12.75" customHeight="1">
      <c r="B34" s="348"/>
      <c r="C34" s="306"/>
      <c r="D34" s="307"/>
      <c r="E34" s="333" t="s">
        <v>99</v>
      </c>
      <c r="F34" s="324" t="s">
        <v>100</v>
      </c>
      <c r="G34" s="341"/>
      <c r="H34" s="342"/>
      <c r="I34" s="343"/>
    </row>
    <row r="35" spans="2:9">
      <c r="B35" s="348"/>
      <c r="C35" s="306"/>
      <c r="D35" s="307"/>
      <c r="E35" s="334"/>
      <c r="F35" s="325"/>
      <c r="G35" s="341"/>
      <c r="H35" s="342"/>
      <c r="I35" s="343"/>
    </row>
    <row r="36" spans="2:9">
      <c r="B36" s="348"/>
      <c r="C36" s="306"/>
      <c r="D36" s="307"/>
      <c r="E36" s="334"/>
      <c r="F36" s="325"/>
      <c r="G36" s="341"/>
      <c r="H36" s="342"/>
      <c r="I36" s="343"/>
    </row>
    <row r="37" spans="2:9" ht="13.5" thickBot="1">
      <c r="B37" s="348"/>
      <c r="C37" s="306"/>
      <c r="D37" s="307"/>
      <c r="E37" s="335"/>
      <c r="F37" s="326"/>
      <c r="G37" s="341"/>
      <c r="H37" s="342"/>
      <c r="I37" s="343"/>
    </row>
    <row r="38" spans="2:9" ht="12.75" customHeight="1">
      <c r="B38" s="30"/>
      <c r="C38" s="306"/>
      <c r="D38" s="307"/>
      <c r="E38" s="333" t="s">
        <v>101</v>
      </c>
      <c r="F38" s="310" t="s">
        <v>102</v>
      </c>
      <c r="G38" s="341"/>
      <c r="H38" s="342"/>
      <c r="I38" s="343"/>
    </row>
    <row r="39" spans="2:9">
      <c r="B39" s="30"/>
      <c r="C39" s="306"/>
      <c r="D39" s="307"/>
      <c r="E39" s="334"/>
      <c r="F39" s="311"/>
      <c r="G39" s="341"/>
      <c r="H39" s="342"/>
      <c r="I39" s="343"/>
    </row>
    <row r="40" spans="2:9" ht="13.5" thickBot="1">
      <c r="B40" s="30"/>
      <c r="C40" s="308"/>
      <c r="D40" s="309"/>
      <c r="E40" s="335"/>
      <c r="F40" s="312"/>
      <c r="G40" s="341"/>
      <c r="H40" s="342"/>
      <c r="I40" s="343"/>
    </row>
    <row r="41" spans="2:9" ht="12.75" customHeight="1">
      <c r="B41" s="30"/>
      <c r="C41" s="336" t="s">
        <v>95</v>
      </c>
      <c r="D41" s="337"/>
      <c r="E41" s="333" t="s">
        <v>103</v>
      </c>
      <c r="F41" s="310" t="s">
        <v>104</v>
      </c>
      <c r="G41" s="341"/>
      <c r="H41" s="342"/>
      <c r="I41" s="343"/>
    </row>
    <row r="42" spans="2:9" ht="12.75" customHeight="1">
      <c r="B42" s="30"/>
      <c r="C42" s="306" t="s">
        <v>105</v>
      </c>
      <c r="D42" s="307"/>
      <c r="E42" s="334"/>
      <c r="F42" s="311"/>
      <c r="G42" s="341"/>
      <c r="H42" s="342"/>
      <c r="I42" s="343"/>
    </row>
    <row r="43" spans="2:9" ht="12.75" customHeight="1">
      <c r="B43" s="311" t="s">
        <v>106</v>
      </c>
      <c r="C43" s="306"/>
      <c r="D43" s="307"/>
      <c r="E43" s="334"/>
      <c r="F43" s="311"/>
      <c r="G43" s="341"/>
      <c r="H43" s="342"/>
      <c r="I43" s="343"/>
    </row>
    <row r="44" spans="2:9" ht="13.5" thickBot="1">
      <c r="B44" s="311"/>
      <c r="C44" s="306"/>
      <c r="D44" s="307"/>
      <c r="E44" s="335"/>
      <c r="F44" s="312"/>
      <c r="G44" s="341"/>
      <c r="H44" s="342"/>
      <c r="I44" s="343"/>
    </row>
    <row r="45" spans="2:9" ht="12.75" customHeight="1">
      <c r="B45" s="311"/>
      <c r="C45" s="306"/>
      <c r="D45" s="307"/>
      <c r="E45" s="333" t="s">
        <v>107</v>
      </c>
      <c r="F45" s="310" t="s">
        <v>108</v>
      </c>
      <c r="G45" s="341"/>
      <c r="H45" s="342"/>
      <c r="I45" s="343"/>
    </row>
    <row r="46" spans="2:9" ht="13.5" thickBot="1">
      <c r="B46" s="311"/>
      <c r="C46" s="306"/>
      <c r="D46" s="307"/>
      <c r="E46" s="335"/>
      <c r="F46" s="312"/>
      <c r="G46" s="341"/>
      <c r="H46" s="342"/>
      <c r="I46" s="343"/>
    </row>
    <row r="47" spans="2:9" ht="12.75" customHeight="1">
      <c r="B47" s="311"/>
      <c r="C47" s="306"/>
      <c r="D47" s="307"/>
      <c r="E47" s="333" t="s">
        <v>109</v>
      </c>
      <c r="F47" s="310" t="s">
        <v>110</v>
      </c>
      <c r="G47" s="341"/>
      <c r="H47" s="342"/>
      <c r="I47" s="343"/>
    </row>
    <row r="48" spans="2:9">
      <c r="B48" s="311"/>
      <c r="C48" s="306"/>
      <c r="D48" s="307"/>
      <c r="E48" s="334"/>
      <c r="F48" s="311"/>
      <c r="G48" s="341"/>
      <c r="H48" s="342"/>
      <c r="I48" s="343"/>
    </row>
    <row r="49" spans="2:9" ht="13.5" thickBot="1">
      <c r="B49" s="312"/>
      <c r="C49" s="308"/>
      <c r="D49" s="309"/>
      <c r="E49" s="335"/>
      <c r="F49" s="312"/>
      <c r="G49" s="341"/>
      <c r="H49" s="342"/>
      <c r="I49" s="343"/>
    </row>
    <row r="50" spans="2:9" ht="12.75" customHeight="1">
      <c r="B50" s="327" t="s">
        <v>111</v>
      </c>
      <c r="C50" s="328"/>
      <c r="D50" s="329"/>
      <c r="E50" s="333" t="s">
        <v>112</v>
      </c>
      <c r="F50" s="310" t="s">
        <v>113</v>
      </c>
      <c r="G50" s="341"/>
      <c r="H50" s="342"/>
      <c r="I50" s="343"/>
    </row>
    <row r="51" spans="2:9" ht="13.5" thickBot="1">
      <c r="B51" s="330"/>
      <c r="C51" s="331"/>
      <c r="D51" s="332"/>
      <c r="E51" s="335"/>
      <c r="F51" s="312"/>
      <c r="G51" s="344"/>
      <c r="H51" s="345"/>
      <c r="I51" s="346"/>
    </row>
  </sheetData>
  <sheetProtection password="CC53" sheet="1" objects="1" scenarios="1"/>
  <mergeCells count="86">
    <mergeCell ref="D20:D23"/>
    <mergeCell ref="D14:D17"/>
    <mergeCell ref="F15:F17"/>
    <mergeCell ref="F47:F49"/>
    <mergeCell ref="F50:F51"/>
    <mergeCell ref="D12:D13"/>
    <mergeCell ref="F9:F11"/>
    <mergeCell ref="D8:D11"/>
    <mergeCell ref="D18:D19"/>
    <mergeCell ref="C41:D41"/>
    <mergeCell ref="F34:F37"/>
    <mergeCell ref="C19:C29"/>
    <mergeCell ref="D26:D29"/>
    <mergeCell ref="E21:E23"/>
    <mergeCell ref="E9:E11"/>
    <mergeCell ref="E6:E8"/>
    <mergeCell ref="E18:E20"/>
    <mergeCell ref="F27:F29"/>
    <mergeCell ref="F12:F14"/>
    <mergeCell ref="E34:E37"/>
    <mergeCell ref="E41:E44"/>
    <mergeCell ref="F30:F33"/>
    <mergeCell ref="B30:B37"/>
    <mergeCell ref="D6:D7"/>
    <mergeCell ref="C7:C17"/>
    <mergeCell ref="F38:F40"/>
    <mergeCell ref="F6:F8"/>
    <mergeCell ref="F18:F20"/>
    <mergeCell ref="F21:F23"/>
    <mergeCell ref="D24:D25"/>
    <mergeCell ref="E30:E33"/>
    <mergeCell ref="B6:B13"/>
    <mergeCell ref="B14:B29"/>
    <mergeCell ref="E15:E17"/>
    <mergeCell ref="E12:E14"/>
    <mergeCell ref="G22:G24"/>
    <mergeCell ref="B50:D51"/>
    <mergeCell ref="E27:E29"/>
    <mergeCell ref="E24:E26"/>
    <mergeCell ref="E38:E40"/>
    <mergeCell ref="E50:E51"/>
    <mergeCell ref="C42:D49"/>
    <mergeCell ref="C31:D40"/>
    <mergeCell ref="C30:D30"/>
    <mergeCell ref="F45:F46"/>
    <mergeCell ref="E45:E46"/>
    <mergeCell ref="F24:F26"/>
    <mergeCell ref="B43:B49"/>
    <mergeCell ref="G30:I51"/>
    <mergeCell ref="F41:F44"/>
    <mergeCell ref="E47:E49"/>
    <mergeCell ref="H21:I23"/>
    <mergeCell ref="H24:H26"/>
    <mergeCell ref="H27:H29"/>
    <mergeCell ref="H15:H17"/>
    <mergeCell ref="H12:H14"/>
    <mergeCell ref="I24:I29"/>
    <mergeCell ref="H18:I20"/>
    <mergeCell ref="O18:O19"/>
    <mergeCell ref="P18:S19"/>
    <mergeCell ref="M20:S21"/>
    <mergeCell ref="M17:N17"/>
    <mergeCell ref="T4:W4"/>
    <mergeCell ref="T5:W5"/>
    <mergeCell ref="T18:U19"/>
    <mergeCell ref="V18:W19"/>
    <mergeCell ref="M4:S4"/>
    <mergeCell ref="M5:S5"/>
    <mergeCell ref="M18:N18"/>
    <mergeCell ref="M19:N19"/>
    <mergeCell ref="T20:W21"/>
    <mergeCell ref="T9:W9"/>
    <mergeCell ref="T10:W10"/>
    <mergeCell ref="T11:W11"/>
    <mergeCell ref="T12:W12"/>
    <mergeCell ref="M16:N16"/>
    <mergeCell ref="M6:N6"/>
    <mergeCell ref="P6:S6"/>
    <mergeCell ref="H9:I11"/>
    <mergeCell ref="I12:I17"/>
    <mergeCell ref="G4:I4"/>
    <mergeCell ref="P11:S11"/>
    <mergeCell ref="P12:S12"/>
    <mergeCell ref="P10:S10"/>
    <mergeCell ref="H6:I8"/>
    <mergeCell ref="G6:G14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83" orientation="portrait" horizontalDpi="355" verticalDpi="464" r:id="rId1"/>
  <headerFooter alignWithMargins="0">
    <oddFooter>&amp;C&amp;8Jordi González Boada
j.boada@wanadoo.es
http://perso.wanadoo.es/j.boada&amp;R&amp;8&amp;D</oddFooter>
  </headerFooter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2059" r:id="rId4">
          <objectPr defaultSize="0" autoPict="0" r:id="rId5">
            <anchor moveWithCells="1" sizeWithCells="1">
              <from>
                <xdr:col>12</xdr:col>
                <xdr:colOff>66675</xdr:colOff>
                <xdr:row>26</xdr:row>
                <xdr:rowOff>152400</xdr:rowOff>
              </from>
              <to>
                <xdr:col>19</xdr:col>
                <xdr:colOff>342900</xdr:colOff>
                <xdr:row>42</xdr:row>
                <xdr:rowOff>38100</xdr:rowOff>
              </to>
            </anchor>
          </objectPr>
        </oleObject>
      </mc:Choice>
      <mc:Fallback>
        <oleObject progId="Equation.3" shapeId="2059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Button 1">
              <controlPr defaultSize="0" print="0" autoFill="0" autoPict="0" macro="[1]!Clasifica">
                <anchor moveWithCells="1" siz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0</xdr:colOff>
                    <xdr:row>20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AA88"/>
  <sheetViews>
    <sheetView tabSelected="1" view="pageBreakPreview" zoomScale="93" zoomScaleNormal="100" zoomScaleSheetLayoutView="93" workbookViewId="0">
      <selection activeCell="C23" sqref="C23"/>
    </sheetView>
  </sheetViews>
  <sheetFormatPr baseColWidth="10" defaultRowHeight="12.75"/>
  <cols>
    <col min="1" max="1" width="1.5703125" style="1" customWidth="1"/>
    <col min="2" max="2" width="20.140625" style="1" customWidth="1"/>
    <col min="3" max="4" width="9" style="1" customWidth="1"/>
    <col min="5" max="5" width="14.42578125" style="1" customWidth="1"/>
    <col min="6" max="6" width="14.28515625" style="1" customWidth="1"/>
    <col min="7" max="8" width="1.42578125" style="1" customWidth="1"/>
    <col min="9" max="11" width="11.42578125" style="1"/>
    <col min="12" max="12" width="32.85546875" style="1" customWidth="1"/>
    <col min="13" max="13" width="1.5703125" style="1" customWidth="1"/>
    <col min="14" max="22" width="7.140625" style="1" hidden="1" customWidth="1"/>
    <col min="23" max="23" width="1.42578125" style="1" hidden="1" customWidth="1"/>
    <col min="24" max="26" width="7.42578125" style="1" hidden="1" customWidth="1"/>
    <col min="27" max="16384" width="11.42578125" style="1"/>
  </cols>
  <sheetData>
    <row r="1" spans="2:27" ht="13.5" thickBot="1"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2:27">
      <c r="B2" s="26" t="s">
        <v>159</v>
      </c>
      <c r="C2" s="22" t="s">
        <v>187</v>
      </c>
      <c r="D2" s="22" t="s">
        <v>189</v>
      </c>
      <c r="E2" s="120" t="s">
        <v>185</v>
      </c>
      <c r="F2" s="77" t="s">
        <v>185</v>
      </c>
      <c r="I2" s="349" t="s">
        <v>132</v>
      </c>
      <c r="J2" s="350"/>
      <c r="K2" s="350"/>
      <c r="L2" s="351"/>
      <c r="N2" s="74"/>
      <c r="O2" s="74"/>
      <c r="P2" s="74"/>
      <c r="Q2" s="74"/>
      <c r="R2" s="74"/>
      <c r="S2" s="74"/>
      <c r="T2" s="74"/>
      <c r="U2" s="74"/>
      <c r="V2" s="74"/>
      <c r="W2" s="74"/>
    </row>
    <row r="3" spans="2:27">
      <c r="B3" s="15" t="s">
        <v>165</v>
      </c>
      <c r="C3" s="17" t="s">
        <v>188</v>
      </c>
      <c r="D3" s="17" t="s">
        <v>188</v>
      </c>
      <c r="E3" s="156" t="s">
        <v>184</v>
      </c>
      <c r="F3" s="157" t="s">
        <v>186</v>
      </c>
      <c r="I3" s="74"/>
      <c r="J3" s="74"/>
      <c r="K3" s="74"/>
      <c r="L3" s="105"/>
      <c r="N3" s="90" t="s">
        <v>131</v>
      </c>
      <c r="O3" s="91"/>
      <c r="P3" s="91"/>
      <c r="Q3" s="91"/>
      <c r="R3" s="91"/>
      <c r="S3" s="91"/>
      <c r="T3" s="91"/>
      <c r="U3" s="91"/>
      <c r="V3" s="148"/>
      <c r="W3" s="186"/>
      <c r="X3" s="173" t="s">
        <v>190</v>
      </c>
      <c r="Y3" s="175" t="s">
        <v>191</v>
      </c>
      <c r="Z3" s="174" t="s">
        <v>192</v>
      </c>
    </row>
    <row r="4" spans="2:27">
      <c r="B4" s="82">
        <v>100</v>
      </c>
      <c r="C4" s="255">
        <v>100</v>
      </c>
      <c r="D4" s="191">
        <f>IF(C4="",100,C4)</f>
        <v>100</v>
      </c>
      <c r="E4" s="192">
        <f t="shared" ref="E4:E19" si="0">100-D4</f>
        <v>0</v>
      </c>
      <c r="F4" s="193">
        <f>100-D4</f>
        <v>0</v>
      </c>
      <c r="I4" s="74">
        <v>40</v>
      </c>
      <c r="J4" s="106">
        <v>0</v>
      </c>
      <c r="K4" s="74">
        <v>40</v>
      </c>
      <c r="L4" s="106">
        <f>K4-30</f>
        <v>10</v>
      </c>
      <c r="N4" s="95"/>
      <c r="O4" s="55"/>
      <c r="P4" s="55"/>
      <c r="Q4" s="55"/>
      <c r="R4" s="55"/>
      <c r="S4" s="55"/>
      <c r="T4" s="55"/>
      <c r="U4" s="55"/>
      <c r="V4" s="149"/>
      <c r="W4" s="49"/>
      <c r="X4" s="176" t="str">
        <f>IF(AND(D4=60,D5=60),((B4+B5)/2),IF(AND(D4&gt;=60,D5&lt;=60),FORECAST(60,B4:B5,D4:D5),""))</f>
        <v/>
      </c>
      <c r="Y4" s="177" t="str">
        <f>IF(AND(D4=30,D5=30),((B4+B5)/2),IF(AND(D4&gt;=30,D5&lt;=30),FORECAST(30,B4:B5,D4:D5),""))</f>
        <v/>
      </c>
      <c r="Z4" s="178" t="str">
        <f>IF(AND(D4=10,D5=10),((B4+B5)/2),IF(AND(D4&gt;=10,D5&lt;=10),FORECAST(10,B4:B5,D4:D5),""))</f>
        <v/>
      </c>
    </row>
    <row r="5" spans="2:27">
      <c r="B5" s="82">
        <v>80</v>
      </c>
      <c r="C5" s="255">
        <v>100</v>
      </c>
      <c r="D5" s="191">
        <f t="shared" ref="D5:D19" si="1">IF(C5="",100,C5)</f>
        <v>100</v>
      </c>
      <c r="E5" s="192">
        <f t="shared" si="0"/>
        <v>0</v>
      </c>
      <c r="F5" s="193">
        <f t="shared" ref="F5:F19" si="2">D4-D5</f>
        <v>0</v>
      </c>
      <c r="I5" s="74">
        <v>40</v>
      </c>
      <c r="J5" s="106">
        <v>70</v>
      </c>
      <c r="K5" s="74">
        <v>100</v>
      </c>
      <c r="L5" s="106">
        <f>K5-30</f>
        <v>70</v>
      </c>
      <c r="M5" s="74"/>
      <c r="N5" s="90"/>
      <c r="O5" s="91"/>
      <c r="P5" s="91"/>
      <c r="Q5" s="150" t="str">
        <f>IF(D19&lt;50,"Suelo de partículas gruesas.","")</f>
        <v>Suelo de partículas gruesas.</v>
      </c>
      <c r="R5" s="91"/>
      <c r="S5" s="91"/>
      <c r="T5" s="91"/>
      <c r="U5" s="91"/>
      <c r="V5" s="148"/>
      <c r="W5" s="49"/>
      <c r="X5" s="179" t="str">
        <f t="shared" ref="X5:X18" si="3">IF(AND(D5=60,D6=60),((B5+B6)/2),IF(AND(D5&gt;=60,D6&lt;=60),FORECAST(60,B5:B6,D5:D6),""))</f>
        <v/>
      </c>
      <c r="Y5" s="180" t="str">
        <f t="shared" ref="Y5:Y18" si="4">IF(AND(D5=30,D6=30),((B5+B6)/2),IF(AND(D5&gt;=30,D6&lt;=30),FORECAST(30,B5:B6,D5:D6),""))</f>
        <v/>
      </c>
      <c r="Z5" s="181" t="str">
        <f t="shared" ref="Z5:Z14" si="5">IF(AND(D5=10,D6=10),((B5+B6)/2),IF(AND(D5&gt;=10,D6&lt;=10),FORECAST(10,B5:B6,D5:D6),""))</f>
        <v/>
      </c>
      <c r="AA5" s="74"/>
    </row>
    <row r="6" spans="2:27">
      <c r="B6" s="82">
        <v>63</v>
      </c>
      <c r="C6" s="255">
        <v>100</v>
      </c>
      <c r="D6" s="191">
        <f t="shared" si="1"/>
        <v>100</v>
      </c>
      <c r="E6" s="192">
        <f t="shared" si="0"/>
        <v>0</v>
      </c>
      <c r="F6" s="193">
        <f t="shared" si="2"/>
        <v>0</v>
      </c>
      <c r="I6" s="74"/>
      <c r="J6" s="74"/>
      <c r="K6" s="74"/>
      <c r="L6" s="74"/>
      <c r="M6" s="74"/>
      <c r="N6" s="151"/>
      <c r="O6" s="49"/>
      <c r="P6" s="49"/>
      <c r="Q6" s="49" t="str">
        <f>IF(D19&lt;5," Suelo limpio.","")</f>
        <v/>
      </c>
      <c r="R6" s="49"/>
      <c r="S6" s="49"/>
      <c r="T6" s="49"/>
      <c r="U6" s="49"/>
      <c r="V6" s="58"/>
      <c r="W6" s="49"/>
      <c r="X6" s="179" t="str">
        <f t="shared" si="3"/>
        <v/>
      </c>
      <c r="Y6" s="180" t="str">
        <f t="shared" si="4"/>
        <v/>
      </c>
      <c r="Z6" s="181" t="str">
        <f t="shared" si="5"/>
        <v/>
      </c>
      <c r="AA6" s="74"/>
    </row>
    <row r="7" spans="2:27">
      <c r="B7" s="82">
        <v>50</v>
      </c>
      <c r="C7" s="255">
        <v>100</v>
      </c>
      <c r="D7" s="191">
        <f t="shared" si="1"/>
        <v>100</v>
      </c>
      <c r="E7" s="192">
        <f t="shared" si="0"/>
        <v>0</v>
      </c>
      <c r="F7" s="193">
        <f t="shared" si="2"/>
        <v>0</v>
      </c>
      <c r="I7" s="74">
        <v>0</v>
      </c>
      <c r="J7" s="106">
        <v>10</v>
      </c>
      <c r="K7" s="74"/>
      <c r="L7" s="74"/>
      <c r="M7" s="74"/>
      <c r="N7" s="151"/>
      <c r="O7" s="49"/>
      <c r="P7" s="49"/>
      <c r="Q7" s="49" t="str">
        <f>IF(AND(D19&gt;12,D19&lt;50)," Suelo de partículas gruesas con finos (suelo sucio).","")</f>
        <v xml:space="preserve"> Suelo de partículas gruesas con finos (suelo sucio).</v>
      </c>
      <c r="R7" s="49"/>
      <c r="S7" s="49"/>
      <c r="T7" s="49"/>
      <c r="U7" s="49"/>
      <c r="V7" s="58"/>
      <c r="W7" s="49"/>
      <c r="X7" s="179" t="str">
        <f t="shared" si="3"/>
        <v/>
      </c>
      <c r="Y7" s="180" t="str">
        <f t="shared" si="4"/>
        <v/>
      </c>
      <c r="Z7" s="181" t="str">
        <f t="shared" si="5"/>
        <v/>
      </c>
      <c r="AA7" s="74"/>
    </row>
    <row r="8" spans="2:27">
      <c r="B8" s="82">
        <v>40</v>
      </c>
      <c r="C8" s="255">
        <f>[2]Granul..!E17</f>
        <v>97.57709251101322</v>
      </c>
      <c r="D8" s="191">
        <f t="shared" si="1"/>
        <v>97.57709251101322</v>
      </c>
      <c r="E8" s="192">
        <f t="shared" si="0"/>
        <v>2.4229074889867803</v>
      </c>
      <c r="F8" s="193">
        <f t="shared" si="2"/>
        <v>2.4229074889867803</v>
      </c>
      <c r="I8" s="74">
        <v>100</v>
      </c>
      <c r="J8" s="106">
        <v>10</v>
      </c>
      <c r="K8" s="74"/>
      <c r="L8" s="74"/>
      <c r="M8" s="74"/>
      <c r="N8" s="151"/>
      <c r="O8" s="49"/>
      <c r="P8" s="49"/>
      <c r="Q8" s="49" t="str">
        <f>IF(AND(D19&gt;=5,D19&lt;=12),"( Nomenclatura con símbolo doble).","")</f>
        <v/>
      </c>
      <c r="R8" s="49"/>
      <c r="S8" s="49"/>
      <c r="T8" s="49"/>
      <c r="U8" s="49"/>
      <c r="V8" s="58"/>
      <c r="W8" s="49"/>
      <c r="X8" s="179" t="str">
        <f t="shared" si="3"/>
        <v/>
      </c>
      <c r="Y8" s="180" t="str">
        <f t="shared" si="4"/>
        <v/>
      </c>
      <c r="Z8" s="181" t="str">
        <f t="shared" si="5"/>
        <v/>
      </c>
      <c r="AA8" s="74"/>
    </row>
    <row r="9" spans="2:27">
      <c r="B9" s="82">
        <v>25</v>
      </c>
      <c r="C9" s="255">
        <f>[2]Granul..!E18</f>
        <v>95.594713656387668</v>
      </c>
      <c r="D9" s="191">
        <f t="shared" si="1"/>
        <v>95.594713656387668</v>
      </c>
      <c r="E9" s="192">
        <f t="shared" si="0"/>
        <v>4.4052863436123317</v>
      </c>
      <c r="F9" s="193">
        <f t="shared" si="2"/>
        <v>1.9823788546255514</v>
      </c>
      <c r="I9" s="74"/>
      <c r="J9" s="74"/>
      <c r="K9" s="74"/>
      <c r="L9" s="105"/>
      <c r="M9" s="74"/>
      <c r="N9" s="151" t="str">
        <f>IF(E26&lt;50,"SI","No")</f>
        <v>SI</v>
      </c>
      <c r="O9" s="49" t="str">
        <f>IF(E14&gt;E19/2,"SI","No")</f>
        <v>SI</v>
      </c>
      <c r="P9" s="49" t="b">
        <f>AND(N9="SI",O9="SI")</f>
        <v>1</v>
      </c>
      <c r="Q9" s="49" t="str">
        <f>IF(P9=TRUE,"Grava","")</f>
        <v>Grava</v>
      </c>
      <c r="R9" s="49"/>
      <c r="S9" s="49"/>
      <c r="T9" s="49"/>
      <c r="U9" s="49"/>
      <c r="V9" s="58" t="str">
        <f>IF(OR(F4&gt;0,F5&gt;0)," con bloques","")</f>
        <v/>
      </c>
      <c r="W9" s="49"/>
      <c r="X9" s="179" t="str">
        <f t="shared" si="3"/>
        <v/>
      </c>
      <c r="Y9" s="180" t="str">
        <f t="shared" si="4"/>
        <v/>
      </c>
      <c r="Z9" s="181" t="str">
        <f t="shared" si="5"/>
        <v/>
      </c>
      <c r="AA9" s="74"/>
    </row>
    <row r="10" spans="2:27">
      <c r="B10" s="82">
        <v>20</v>
      </c>
      <c r="C10" s="255">
        <f>[2]Granul..!E19</f>
        <v>89.867841409691636</v>
      </c>
      <c r="D10" s="191">
        <f t="shared" si="1"/>
        <v>89.867841409691636</v>
      </c>
      <c r="E10" s="192">
        <f t="shared" si="0"/>
        <v>10.132158590308364</v>
      </c>
      <c r="F10" s="193">
        <f t="shared" si="2"/>
        <v>5.7268722466960327</v>
      </c>
      <c r="I10" s="74"/>
      <c r="J10" s="74"/>
      <c r="K10" s="74"/>
      <c r="L10" s="74"/>
      <c r="M10" s="74"/>
      <c r="N10" s="151"/>
      <c r="O10" s="49"/>
      <c r="P10" s="49"/>
      <c r="Q10" s="49"/>
      <c r="R10" s="49" t="b">
        <f>AND(D19&lt;5,E30&gt;=4,E31&gt;=1,E31&lt;=3)</f>
        <v>0</v>
      </c>
      <c r="S10" s="49" t="b">
        <f>AND(Q9="Grava",R10=TRUE)</f>
        <v>0</v>
      </c>
      <c r="T10" s="49" t="str">
        <f>IF(S10=TRUE," bien graduada","")</f>
        <v/>
      </c>
      <c r="U10" s="49" t="str">
        <f>IF(T10=" bien graduada"," GW","")</f>
        <v/>
      </c>
      <c r="V10" s="58"/>
      <c r="W10" s="49"/>
      <c r="X10" s="179" t="str">
        <f t="shared" si="3"/>
        <v/>
      </c>
      <c r="Y10" s="180" t="str">
        <f t="shared" si="4"/>
        <v/>
      </c>
      <c r="Z10" s="181" t="str">
        <f t="shared" si="5"/>
        <v/>
      </c>
      <c r="AA10" s="74"/>
    </row>
    <row r="11" spans="2:27">
      <c r="B11" s="82">
        <v>12.5</v>
      </c>
      <c r="C11" s="255">
        <f>[2]Granul..!E20</f>
        <v>82.378854625550673</v>
      </c>
      <c r="D11" s="191">
        <f t="shared" si="1"/>
        <v>82.378854625550673</v>
      </c>
      <c r="E11" s="192">
        <f t="shared" si="0"/>
        <v>17.621145374449327</v>
      </c>
      <c r="F11" s="193">
        <f t="shared" si="2"/>
        <v>7.4889867841409625</v>
      </c>
      <c r="I11" s="74"/>
      <c r="J11" s="74"/>
      <c r="K11" s="74"/>
      <c r="L11" s="74"/>
      <c r="M11" s="74"/>
      <c r="N11" s="151"/>
      <c r="O11" s="49"/>
      <c r="P11" s="49"/>
      <c r="Q11" s="49"/>
      <c r="R11" s="49" t="b">
        <f>AND(D19&lt;5,OR(E30&lt;4,E31&lt;1,E31&gt;3))</f>
        <v>0</v>
      </c>
      <c r="S11" s="49" t="b">
        <f>AND(Q9="Grava",R11=TRUE)</f>
        <v>0</v>
      </c>
      <c r="T11" s="49" t="str">
        <f>IF(S11=TRUE," mal graduada","")</f>
        <v/>
      </c>
      <c r="U11" s="49" t="str">
        <f>IF(T11=" mal graduada"," GP","")</f>
        <v/>
      </c>
      <c r="V11" s="58"/>
      <c r="W11" s="49"/>
      <c r="X11" s="179" t="str">
        <f t="shared" si="3"/>
        <v/>
      </c>
      <c r="Y11" s="180" t="str">
        <f t="shared" si="4"/>
        <v/>
      </c>
      <c r="Z11" s="181" t="str">
        <f t="shared" si="5"/>
        <v/>
      </c>
      <c r="AA11" s="74"/>
    </row>
    <row r="12" spans="2:27">
      <c r="B12" s="82">
        <v>10</v>
      </c>
      <c r="C12" s="255">
        <f>[2]Granul..!E21</f>
        <v>74.889867841409711</v>
      </c>
      <c r="D12" s="191">
        <f t="shared" si="1"/>
        <v>74.889867841409711</v>
      </c>
      <c r="E12" s="192">
        <f t="shared" si="0"/>
        <v>25.110132158590289</v>
      </c>
      <c r="F12" s="193">
        <f t="shared" si="2"/>
        <v>7.4889867841409625</v>
      </c>
      <c r="I12" s="74"/>
      <c r="J12" s="74"/>
      <c r="K12" s="74"/>
      <c r="L12" s="74"/>
      <c r="M12" s="74"/>
      <c r="N12" s="151"/>
      <c r="O12" s="49"/>
      <c r="P12" s="49"/>
      <c r="Q12" s="49"/>
      <c r="R12" s="49" t="b">
        <f>AND(D19&gt;12,OR(AND(C21&lt;=30,C23&gt;7),AND(C21&gt;30,C23&gt;(0.73*(C21-20)))))</f>
        <v>0</v>
      </c>
      <c r="S12" s="49" t="b">
        <f>AND(Q9="Grava",R12=TRUE)</f>
        <v>0</v>
      </c>
      <c r="T12" s="49" t="str">
        <f>IF(S12=TRUE," arcillosa","")</f>
        <v/>
      </c>
      <c r="U12" s="49" t="str">
        <f>IF(T12=" arcillosa"," GC","")</f>
        <v/>
      </c>
      <c r="V12" s="58"/>
      <c r="W12" s="49"/>
      <c r="X12" s="179" t="str">
        <f t="shared" si="3"/>
        <v/>
      </c>
      <c r="Y12" s="180" t="str">
        <f t="shared" si="4"/>
        <v/>
      </c>
      <c r="Z12" s="181" t="str">
        <f t="shared" si="5"/>
        <v/>
      </c>
      <c r="AA12" s="74"/>
    </row>
    <row r="13" spans="2:27">
      <c r="B13" s="82">
        <v>6.3</v>
      </c>
      <c r="C13" s="255">
        <f>[2]Granul..!E22</f>
        <v>67.400881057268748</v>
      </c>
      <c r="D13" s="191">
        <f t="shared" si="1"/>
        <v>67.400881057268748</v>
      </c>
      <c r="E13" s="192">
        <f t="shared" si="0"/>
        <v>32.599118942731252</v>
      </c>
      <c r="F13" s="193">
        <f t="shared" si="2"/>
        <v>7.4889867841409625</v>
      </c>
      <c r="I13" s="74"/>
      <c r="J13" s="74"/>
      <c r="K13" s="74"/>
      <c r="L13" s="74"/>
      <c r="M13" s="74"/>
      <c r="N13" s="151"/>
      <c r="O13" s="49"/>
      <c r="P13" s="49"/>
      <c r="Q13" s="49"/>
      <c r="R13" s="49" t="b">
        <f>AND(D19&gt;12,OR(C23&lt;4,C23&lt;(0.73*(C21-20))))</f>
        <v>1</v>
      </c>
      <c r="S13" s="49" t="b">
        <f>AND(Q9="Grava",R13=TRUE)</f>
        <v>1</v>
      </c>
      <c r="T13" s="49" t="str">
        <f>IF(S13=TRUE," limosa","")</f>
        <v xml:space="preserve"> limosa</v>
      </c>
      <c r="U13" s="49" t="str">
        <f>IF(T13=" limosa"," GM","")</f>
        <v xml:space="preserve"> GM</v>
      </c>
      <c r="V13" s="58"/>
      <c r="W13" s="49"/>
      <c r="X13" s="179" t="str">
        <f t="shared" si="3"/>
        <v/>
      </c>
      <c r="Y13" s="180" t="str">
        <f t="shared" si="4"/>
        <v/>
      </c>
      <c r="Z13" s="181" t="str">
        <f t="shared" si="5"/>
        <v/>
      </c>
      <c r="AA13" s="74"/>
    </row>
    <row r="14" spans="2:27">
      <c r="B14" s="82">
        <v>5</v>
      </c>
      <c r="C14" s="255">
        <f>[2]Granul..!E23</f>
        <v>61.89427312775333</v>
      </c>
      <c r="D14" s="191">
        <f t="shared" si="1"/>
        <v>61.89427312775333</v>
      </c>
      <c r="E14" s="192">
        <f t="shared" si="0"/>
        <v>38.10572687224667</v>
      </c>
      <c r="F14" s="193">
        <f t="shared" si="2"/>
        <v>5.5066079295154182</v>
      </c>
      <c r="I14" s="74"/>
      <c r="J14" s="74"/>
      <c r="K14" s="74"/>
      <c r="L14" s="74"/>
      <c r="M14" s="74"/>
      <c r="N14" s="151"/>
      <c r="O14" s="49"/>
      <c r="P14" s="49"/>
      <c r="Q14" s="49"/>
      <c r="R14" s="49" t="b">
        <f>AND(D19&gt;12,C23&gt;(0.73*(C21-20)),C23&gt;=4,C23&lt;=7)</f>
        <v>0</v>
      </c>
      <c r="S14" s="49" t="b">
        <f>AND(Q9="Grava",R14=TRUE)</f>
        <v>0</v>
      </c>
      <c r="T14" s="49" t="str">
        <f>IF(S14=TRUE," arcilloso-limosa","")</f>
        <v/>
      </c>
      <c r="U14" s="49" t="str">
        <f>IF(T14=" arcilloso-limosa"," GC-GM","")</f>
        <v/>
      </c>
      <c r="V14" s="58"/>
      <c r="W14" s="49"/>
      <c r="X14" s="179">
        <f t="shared" si="3"/>
        <v>4.6152575150049522</v>
      </c>
      <c r="Y14" s="180" t="str">
        <f t="shared" si="4"/>
        <v/>
      </c>
      <c r="Z14" s="181" t="str">
        <f t="shared" si="5"/>
        <v/>
      </c>
      <c r="AA14" s="74"/>
    </row>
    <row r="15" spans="2:27">
      <c r="B15" s="82">
        <v>2</v>
      </c>
      <c r="C15" s="255">
        <f>[2]Granul..!$E$28</f>
        <v>47.123823788546268</v>
      </c>
      <c r="D15" s="191">
        <f t="shared" si="1"/>
        <v>47.123823788546268</v>
      </c>
      <c r="E15" s="192">
        <f t="shared" si="0"/>
        <v>52.876176211453732</v>
      </c>
      <c r="F15" s="193">
        <f t="shared" si="2"/>
        <v>14.770449339207062</v>
      </c>
      <c r="M15" s="74"/>
      <c r="N15" s="151"/>
      <c r="O15" s="49"/>
      <c r="P15" s="49"/>
      <c r="Q15" s="49"/>
      <c r="R15" s="49" t="b">
        <f>AND(D19&gt;=5,D19&lt;=12,E30&gt;=4,E31&gt;=1,E31&lt;=3)</f>
        <v>0</v>
      </c>
      <c r="S15" s="49" t="b">
        <f>AND(Q9="Grava",R15=TRUE)</f>
        <v>0</v>
      </c>
      <c r="T15" s="49" t="str">
        <f>IF(S15=TRUE," bien graduada","")</f>
        <v/>
      </c>
      <c r="U15" s="49" t="str">
        <f>IF(T15=" bien graduada"," GW","")</f>
        <v/>
      </c>
      <c r="V15" s="58"/>
      <c r="W15" s="49"/>
      <c r="X15" s="179" t="str">
        <f t="shared" si="3"/>
        <v/>
      </c>
      <c r="Y15" s="180" t="str">
        <f t="shared" si="4"/>
        <v/>
      </c>
      <c r="Z15" s="181" t="str">
        <f>IF(AND(D15=10,D16=10),((B15+B16)/2),IF(AND(D15&gt;=10,D16&lt;=10),FORECAST(10,B15:B16,D15:D16),""))</f>
        <v/>
      </c>
      <c r="AA15" s="74"/>
    </row>
    <row r="16" spans="2:27">
      <c r="B16" s="82">
        <v>1.25</v>
      </c>
      <c r="C16" s="255">
        <f>[2]Granul..!$E$29</f>
        <v>41.998977973568302</v>
      </c>
      <c r="D16" s="191">
        <f t="shared" si="1"/>
        <v>41.998977973568302</v>
      </c>
      <c r="E16" s="192">
        <f t="shared" si="0"/>
        <v>58.001022026431698</v>
      </c>
      <c r="F16" s="193">
        <f t="shared" si="2"/>
        <v>5.1248458149779665</v>
      </c>
      <c r="M16" s="74"/>
      <c r="N16" s="151"/>
      <c r="O16" s="49"/>
      <c r="P16" s="49"/>
      <c r="Q16" s="49"/>
      <c r="R16" s="49" t="b">
        <f>AND(D19&gt;=5,D19&lt;=12,OR(E30&lt;4,E31&lt;1,E31&gt;3))</f>
        <v>0</v>
      </c>
      <c r="S16" s="49" t="b">
        <f>AND(Q9="Grava",R16=TRUE)</f>
        <v>0</v>
      </c>
      <c r="T16" s="49" t="str">
        <f>IF(S16=TRUE," mal graduada","")</f>
        <v/>
      </c>
      <c r="U16" s="49" t="str">
        <f>IF(T16=" mal graduada"," GP","")</f>
        <v/>
      </c>
      <c r="V16" s="58"/>
      <c r="W16" s="49"/>
      <c r="X16" s="179" t="str">
        <f t="shared" si="3"/>
        <v/>
      </c>
      <c r="Y16" s="180" t="str">
        <f t="shared" si="4"/>
        <v/>
      </c>
      <c r="Z16" s="181" t="str">
        <f>IF(AND(D16=10,D17=10),((B16+B17)/2),IF(AND(D16&gt;=10,D17&lt;=10),FORECAST(10,B16:B17,D16:D17),""))</f>
        <v/>
      </c>
      <c r="AA16" s="74"/>
    </row>
    <row r="17" spans="2:27">
      <c r="B17" s="82">
        <v>0.4</v>
      </c>
      <c r="C17" s="255">
        <f>[2]Granul..!$E$30</f>
        <v>38.186290748898692</v>
      </c>
      <c r="D17" s="191">
        <f t="shared" si="1"/>
        <v>38.186290748898692</v>
      </c>
      <c r="E17" s="192">
        <f t="shared" si="0"/>
        <v>61.813709251101308</v>
      </c>
      <c r="F17" s="193">
        <f t="shared" si="2"/>
        <v>3.8126872246696095</v>
      </c>
      <c r="M17" s="74"/>
      <c r="N17" s="151"/>
      <c r="O17" s="49"/>
      <c r="P17" s="49"/>
      <c r="Q17" s="49"/>
      <c r="R17" s="49" t="b">
        <f>AND(D19&gt;=5,D19&lt;=12,OR(AND(C21&lt;=30,C23&gt;7),AND(C21&gt;30,C23&gt;(0.73*(C21-20)))))</f>
        <v>0</v>
      </c>
      <c r="S17" s="49" t="b">
        <f>AND(Q9="Grava",R17=TRUE)</f>
        <v>0</v>
      </c>
      <c r="T17" s="49" t="str">
        <f>IF(S17=TRUE," con arcilla","")</f>
        <v/>
      </c>
      <c r="U17" s="49" t="str">
        <f>IF(T17=" con arcilla"," GC","")</f>
        <v/>
      </c>
      <c r="V17" s="58"/>
      <c r="W17" s="49"/>
      <c r="X17" s="179" t="str">
        <f t="shared" si="3"/>
        <v/>
      </c>
      <c r="Y17" s="180" t="str">
        <f t="shared" si="4"/>
        <v/>
      </c>
      <c r="Z17" s="181" t="str">
        <f>IF(AND(D17=10,D18=10),((B17+B18)/2),IF(AND(D17&gt;=10,D18&lt;=10),FORECAST(10,B17:B18,D17:D18),""))</f>
        <v/>
      </c>
      <c r="AA17" s="74"/>
    </row>
    <row r="18" spans="2:27">
      <c r="B18" s="84">
        <v>0.16</v>
      </c>
      <c r="C18" s="255">
        <f>[2]Granul..!$E$32</f>
        <v>33.378343612334817</v>
      </c>
      <c r="D18" s="191">
        <f t="shared" si="1"/>
        <v>33.378343612334817</v>
      </c>
      <c r="E18" s="192">
        <f t="shared" si="0"/>
        <v>66.621656387665183</v>
      </c>
      <c r="F18" s="193">
        <f t="shared" si="2"/>
        <v>4.8079471365638753</v>
      </c>
      <c r="M18" s="74"/>
      <c r="N18" s="151"/>
      <c r="O18" s="49"/>
      <c r="P18" s="49"/>
      <c r="Q18" s="49"/>
      <c r="R18" s="49" t="b">
        <f>AND(D19&gt;=5,D19&lt;=12,OR(C23&lt;4,C23&lt;(0.73*(C21-20))))</f>
        <v>0</v>
      </c>
      <c r="S18" s="49" t="b">
        <f>AND(Q9="Grava",R18=TRUE)</f>
        <v>0</v>
      </c>
      <c r="T18" s="49" t="str">
        <f>IF(S18=TRUE," con limo","")</f>
        <v/>
      </c>
      <c r="U18" s="49" t="str">
        <f>IF(T18=" con limo"," GM","")</f>
        <v/>
      </c>
      <c r="V18" s="58"/>
      <c r="W18" s="49"/>
      <c r="X18" s="182" t="str">
        <f t="shared" si="3"/>
        <v/>
      </c>
      <c r="Y18" s="183">
        <f t="shared" si="4"/>
        <v>0.10224075015534073</v>
      </c>
      <c r="Z18" s="184" t="str">
        <f>IF(AND(D18=10,D19=10),((B18+B19)/2),IF(AND(D18&gt;=10,D19&lt;=10),FORECAST(10,B18:B19,D18:D19),""))</f>
        <v/>
      </c>
      <c r="AA18" s="74"/>
    </row>
    <row r="19" spans="2:27" ht="13.5" thickBot="1">
      <c r="B19" s="85">
        <v>0.08</v>
      </c>
      <c r="C19" s="257">
        <f>[2]Granul..!$E$33</f>
        <v>28.69913656387666</v>
      </c>
      <c r="D19" s="194">
        <f t="shared" si="1"/>
        <v>28.69913656387666</v>
      </c>
      <c r="E19" s="195">
        <f t="shared" si="0"/>
        <v>71.300863436123336</v>
      </c>
      <c r="F19" s="196">
        <f t="shared" si="2"/>
        <v>4.6792070484581565</v>
      </c>
      <c r="M19" s="74"/>
      <c r="N19" s="151"/>
      <c r="O19" s="49"/>
      <c r="P19" s="49"/>
      <c r="Q19" s="49"/>
      <c r="R19" s="49" t="b">
        <f>AND(D19&gt;=5,D19&lt;=12,C23&gt;(0.73*(C21-20)),C23&gt;=4,C23&lt;=7)</f>
        <v>0</v>
      </c>
      <c r="S19" s="49" t="b">
        <f>AND(Q9="Grava",R19=TRUE)</f>
        <v>0</v>
      </c>
      <c r="T19" s="49" t="str">
        <f>IF(S19=TRUE," con arcilla y limo","")</f>
        <v/>
      </c>
      <c r="U19" s="49" t="str">
        <f>IF(T19=" con arcilla y limo"," GC","")</f>
        <v/>
      </c>
      <c r="V19" s="58"/>
      <c r="W19" s="49"/>
      <c r="X19" s="188">
        <f>AVERAGE(X4:X18)</f>
        <v>4.6152575150049522</v>
      </c>
      <c r="Y19" s="189">
        <f>AVERAGE(Y4:Y18)</f>
        <v>0.10224075015534073</v>
      </c>
      <c r="Z19" s="190" t="e">
        <f>AVERAGE(Z4:Z18)</f>
        <v>#DIV/0!</v>
      </c>
      <c r="AA19" s="74"/>
    </row>
    <row r="20" spans="2:27" ht="13.5" thickBot="1">
      <c r="C20" s="9"/>
      <c r="I20" s="74"/>
      <c r="J20" s="74"/>
      <c r="K20" s="74"/>
      <c r="L20" s="74"/>
      <c r="M20" s="74"/>
      <c r="N20" s="151"/>
      <c r="O20" s="49"/>
      <c r="P20" s="49"/>
      <c r="Q20" s="49"/>
      <c r="R20" s="49"/>
      <c r="S20" s="49" t="b">
        <f>AND(Q9="Grava",(F15+F16+F17+F18+F19)&gt;15)</f>
        <v>1</v>
      </c>
      <c r="T20" s="49" t="str">
        <f>IF(S20=TRUE," con arena","")</f>
        <v xml:space="preserve"> con arena</v>
      </c>
      <c r="U20" s="49"/>
      <c r="V20" s="58"/>
      <c r="W20" s="49"/>
      <c r="X20" s="159" t="b">
        <f>ISNUMBER(X19)</f>
        <v>1</v>
      </c>
      <c r="Y20" s="197" t="b">
        <f>ISNUMBER(Y19)</f>
        <v>1</v>
      </c>
      <c r="Z20" s="161" t="b">
        <f>ISNUMBER(Z19)</f>
        <v>0</v>
      </c>
      <c r="AA20" s="74"/>
    </row>
    <row r="21" spans="2:27">
      <c r="B21" s="26" t="s">
        <v>176</v>
      </c>
      <c r="C21" s="259">
        <v>24.1</v>
      </c>
      <c r="D21" s="107" t="s">
        <v>2</v>
      </c>
      <c r="E21" s="4"/>
      <c r="F21" s="50"/>
      <c r="I21" s="74"/>
      <c r="J21" s="74"/>
      <c r="K21" s="74"/>
      <c r="L21" s="74"/>
      <c r="M21" s="74"/>
      <c r="N21" s="151" t="str">
        <f>IF(E26&lt;50,"SI","No")</f>
        <v>SI</v>
      </c>
      <c r="O21" s="49" t="str">
        <f>IF(E14&lt;E19/2,"SI","No")</f>
        <v>No</v>
      </c>
      <c r="P21" s="49" t="b">
        <f>AND(N21="SI",O21="SI")</f>
        <v>0</v>
      </c>
      <c r="Q21" s="49" t="str">
        <f>IF(P21=TRUE,"Arena","")</f>
        <v/>
      </c>
      <c r="R21" s="49"/>
      <c r="S21" s="49"/>
      <c r="T21" s="49"/>
      <c r="U21" s="49"/>
      <c r="V21" s="58"/>
      <c r="W21" s="49"/>
      <c r="X21" s="74"/>
      <c r="Y21" s="74"/>
      <c r="Z21" s="74"/>
      <c r="AA21" s="74"/>
    </row>
    <row r="22" spans="2:27">
      <c r="B22" s="15" t="s">
        <v>177</v>
      </c>
      <c r="C22" s="255">
        <v>23.6</v>
      </c>
      <c r="D22" s="45" t="s">
        <v>2</v>
      </c>
      <c r="E22" s="9"/>
      <c r="F22" s="47"/>
      <c r="I22" s="74"/>
      <c r="J22" s="74"/>
      <c r="K22" s="74"/>
      <c r="L22" s="74"/>
      <c r="M22" s="74"/>
      <c r="N22" s="151"/>
      <c r="O22" s="49"/>
      <c r="P22" s="49"/>
      <c r="Q22" s="49"/>
      <c r="R22" s="49" t="b">
        <f>AND(D19&lt;5,E30&gt;=6,E31&gt;=1,E31&lt;=3)</f>
        <v>0</v>
      </c>
      <c r="S22" s="49" t="b">
        <f>AND(Q21="Arena",R22=TRUE)</f>
        <v>0</v>
      </c>
      <c r="T22" s="49" t="str">
        <f>IF(AND(S22=TRUE,D19&lt;=12,D19&lt;50)," bien graduada","")</f>
        <v/>
      </c>
      <c r="U22" s="49" t="str">
        <f>IF(T22=" bien graduada"," SW","")</f>
        <v/>
      </c>
      <c r="V22" s="58"/>
      <c r="W22" s="49"/>
      <c r="X22" s="74"/>
      <c r="Y22" s="74"/>
      <c r="Z22" s="74"/>
      <c r="AA22" s="74"/>
    </row>
    <row r="23" spans="2:27" ht="13.5" thickBot="1">
      <c r="B23" s="19" t="s">
        <v>178</v>
      </c>
      <c r="C23" s="89">
        <f>C21-C22</f>
        <v>0.5</v>
      </c>
      <c r="D23" s="108" t="s">
        <v>2</v>
      </c>
      <c r="E23" s="158"/>
      <c r="F23" s="48"/>
      <c r="I23" s="74"/>
      <c r="J23" s="74"/>
      <c r="K23" s="74"/>
      <c r="L23" s="74"/>
      <c r="M23" s="74"/>
      <c r="N23" s="151"/>
      <c r="O23" s="49"/>
      <c r="P23" s="49"/>
      <c r="Q23" s="49"/>
      <c r="R23" s="49" t="b">
        <f>AND(D19&lt;5,OR(E30&lt;6,E31&lt;1,E31&gt;3))</f>
        <v>0</v>
      </c>
      <c r="S23" s="49" t="b">
        <f>AND(Q21="Arena",R23=TRUE)</f>
        <v>0</v>
      </c>
      <c r="T23" s="49" t="str">
        <f>IF(AND(S23=TRUE,D19&lt;=12,D19&lt;50)," mal graduada","")</f>
        <v/>
      </c>
      <c r="U23" s="49" t="str">
        <f>IF(T23=" mal graduada"," SP","")</f>
        <v/>
      </c>
      <c r="V23" s="58"/>
      <c r="W23" s="49"/>
      <c r="X23" s="74"/>
      <c r="Y23" s="74"/>
      <c r="Z23" s="74"/>
      <c r="AA23" s="74"/>
    </row>
    <row r="24" spans="2:27" ht="13.5" thickBot="1">
      <c r="I24" s="164" t="str">
        <f>IF(AND(C4="",C5="",C6="",C7="",C8="",C9="",C10="",C11="",C12="",C13="",C14="",C15="",C16="",C17="",C18="",C19=""),"",N63)</f>
        <v>Material granular</v>
      </c>
      <c r="J24" s="165"/>
      <c r="K24" s="165"/>
      <c r="L24" s="166"/>
      <c r="M24" s="74"/>
      <c r="N24" s="151"/>
      <c r="O24" s="49"/>
      <c r="P24" s="49"/>
      <c r="Q24" s="49"/>
      <c r="R24" s="49" t="b">
        <f>AND(D19&gt;12,OR(AND(C21&lt;=30,C23&gt;7),AND(C21&gt;30,C23&gt;(0.73*(C21-20)))))</f>
        <v>0</v>
      </c>
      <c r="S24" s="49" t="b">
        <f>AND(Q21="Arena",R24=TRUE)</f>
        <v>0</v>
      </c>
      <c r="T24" s="49" t="str">
        <f>IF(AND(S24=TRUE,D19&gt;12,D19&lt;50)," arcillosa","")</f>
        <v/>
      </c>
      <c r="U24" s="49" t="str">
        <f>IF(T24=" arcillosa"," SC","")</f>
        <v/>
      </c>
      <c r="V24" s="58"/>
      <c r="W24" s="49"/>
      <c r="X24" s="74"/>
      <c r="Y24" s="74"/>
      <c r="Z24" s="74"/>
      <c r="AA24" s="74"/>
    </row>
    <row r="25" spans="2:27">
      <c r="B25" s="13" t="s">
        <v>118</v>
      </c>
      <c r="C25" s="14"/>
      <c r="D25" s="109"/>
      <c r="E25" s="110">
        <f>D14</f>
        <v>61.89427312775333</v>
      </c>
      <c r="F25" s="111" t="s">
        <v>2</v>
      </c>
      <c r="I25" s="167" t="str">
        <f>IF(AND(C4="",C5="",C6="",C7="",C8="",C9="",C10="",C11="",C12="",C13="",C14="",C15="",C16="",C17="",C18="",C19=""),"",N64)</f>
        <v>Excelente a bueno como subgrado</v>
      </c>
      <c r="J25" s="49"/>
      <c r="K25" s="49"/>
      <c r="L25" s="168"/>
      <c r="M25" s="74"/>
      <c r="N25" s="151"/>
      <c r="O25" s="49"/>
      <c r="P25" s="49"/>
      <c r="Q25" s="49"/>
      <c r="R25" s="49" t="b">
        <f>AND(D19&gt;12,OR(C23&lt;4,C23&lt;(0.73*(C21-20))))</f>
        <v>1</v>
      </c>
      <c r="S25" s="49" t="b">
        <f>AND(Q21="Arena",R25=TRUE)</f>
        <v>0</v>
      </c>
      <c r="T25" s="49" t="str">
        <f>IF(AND(S25=TRUE,D19&gt;12,D19&lt;50)," limosa","")</f>
        <v/>
      </c>
      <c r="U25" s="49" t="str">
        <f>IF(T25=" limosa"," SM","")</f>
        <v/>
      </c>
      <c r="V25" s="58"/>
      <c r="W25" s="49"/>
      <c r="X25" s="74"/>
      <c r="Y25" s="74"/>
      <c r="Z25" s="74"/>
      <c r="AA25" s="74"/>
    </row>
    <row r="26" spans="2:27" ht="13.5" thickBot="1">
      <c r="B26" s="102" t="s">
        <v>133</v>
      </c>
      <c r="C26" s="153"/>
      <c r="D26" s="112"/>
      <c r="E26" s="46">
        <f>D19</f>
        <v>28.69913656387666</v>
      </c>
      <c r="F26" s="113" t="s">
        <v>2</v>
      </c>
      <c r="I26" s="169" t="str">
        <f>IF(AND(C4="",C5="",C6="",C7="",C8="",C9="",C10="",C11="",C12="",C13="",C14="",C15="",C16="",C17="",C18="",C19=""),"",P65)</f>
        <v>A-2-4 Grava y arena arcillosa o limosa</v>
      </c>
      <c r="J26" s="170"/>
      <c r="K26" s="170"/>
      <c r="L26" s="171"/>
      <c r="N26" s="151"/>
      <c r="O26" s="49"/>
      <c r="P26" s="49"/>
      <c r="Q26" s="49"/>
      <c r="R26" s="49" t="b">
        <f>AND(D19&gt;12,C23&gt;(0.73*(C21-20)),C23&gt;=4,C23&lt;=7)</f>
        <v>0</v>
      </c>
      <c r="S26" s="49" t="b">
        <f>AND(Q21="Arena",R26=TRUE)</f>
        <v>0</v>
      </c>
      <c r="T26" s="49" t="str">
        <f>IF(AND(S26=TRUE,D19&gt;12,D19&lt;50)," arcilloso-limosa","")</f>
        <v/>
      </c>
      <c r="U26" s="49" t="str">
        <f>IF(T26=" arcilloso-limosa"," SC-SM","")</f>
        <v/>
      </c>
      <c r="V26" s="58"/>
      <c r="W26" s="49"/>
    </row>
    <row r="27" spans="2:27" ht="13.5" thickBot="1">
      <c r="B27" s="102" t="s">
        <v>179</v>
      </c>
      <c r="C27" s="153"/>
      <c r="D27" s="112"/>
      <c r="E27" s="46">
        <f>IF(X20=TRUE,X19,"")</f>
        <v>4.6152575150049522</v>
      </c>
      <c r="F27" s="51" t="s">
        <v>119</v>
      </c>
      <c r="I27" s="9"/>
      <c r="J27" s="9"/>
      <c r="K27" s="9"/>
      <c r="L27" s="57">
        <f>IF(OR(P53="A-2-6",P54="A-2-7"),IF(C23="","",ROUND(0.01*(D19-15)*(C23-10),0)),IF(C23="","",ROUND((D19-35)*(0.2+0.005*(C21-40))+0.01*(D19-15)*(C23-10),0)))</f>
        <v>-2</v>
      </c>
      <c r="N27" s="151"/>
      <c r="O27" s="49"/>
      <c r="P27" s="49"/>
      <c r="Q27" s="49"/>
      <c r="R27" s="49" t="b">
        <f>AND(D19&gt;=5,D19&lt;=12,E30&gt;=4,E31&gt;=1,E31&lt;=3)</f>
        <v>0</v>
      </c>
      <c r="S27" s="49" t="b">
        <f>AND(Q21="Arena",R27=TRUE)</f>
        <v>0</v>
      </c>
      <c r="T27" s="49" t="str">
        <f>IF(S27=TRUE," bien graduada","")</f>
        <v/>
      </c>
      <c r="U27" s="49" t="str">
        <f>IF(T27=" bien graduada"," SW","")</f>
        <v/>
      </c>
      <c r="V27" s="58"/>
      <c r="W27" s="49"/>
    </row>
    <row r="28" spans="2:27" ht="13.5" thickBot="1">
      <c r="B28" s="102" t="s">
        <v>180</v>
      </c>
      <c r="C28" s="153"/>
      <c r="D28" s="112"/>
      <c r="E28" s="46">
        <f>IF(Y20=TRUE,Y19,"")</f>
        <v>0.10224075015534073</v>
      </c>
      <c r="F28" s="51" t="s">
        <v>119</v>
      </c>
      <c r="I28" s="62" t="s">
        <v>147</v>
      </c>
      <c r="J28" s="63"/>
      <c r="K28" s="64"/>
      <c r="L28" s="172">
        <f>IF(AND(C21=0,C22=0),"",IF(L27&lt;0,0,L27))</f>
        <v>0</v>
      </c>
      <c r="N28" s="151"/>
      <c r="O28" s="49"/>
      <c r="P28" s="49"/>
      <c r="Q28" s="49"/>
      <c r="R28" s="49" t="b">
        <f>AND(D19&gt;=5,D19&lt;=12,OR(E30&lt;4,E31&lt;1,E31&gt;3))</f>
        <v>0</v>
      </c>
      <c r="S28" s="49" t="b">
        <f>AND(Q21="Arena",R28=TRUE)</f>
        <v>0</v>
      </c>
      <c r="T28" s="49" t="str">
        <f>IF(S28=TRUE," mal graduada","")</f>
        <v/>
      </c>
      <c r="U28" s="49" t="str">
        <f>IF(T28=" mal graduada"," SP","")</f>
        <v/>
      </c>
      <c r="V28" s="58"/>
      <c r="W28" s="49"/>
    </row>
    <row r="29" spans="2:27">
      <c r="B29" s="114" t="s">
        <v>181</v>
      </c>
      <c r="C29" s="154"/>
      <c r="D29" s="115"/>
      <c r="E29" s="185" t="str">
        <f>IF(Z20=TRUE,Z19,"")</f>
        <v/>
      </c>
      <c r="F29" s="116" t="s">
        <v>119</v>
      </c>
      <c r="N29" s="151"/>
      <c r="O29" s="49"/>
      <c r="P29" s="49"/>
      <c r="Q29" s="49"/>
      <c r="R29" s="49" t="b">
        <f>AND(D19&gt;=5,D19&lt;=12,OR(AND(C21&lt;=30,C23&gt;7),AND(C21&gt;30,C23&gt;(0.73*(C21-20)))))</f>
        <v>0</v>
      </c>
      <c r="S29" s="49" t="b">
        <f>AND(Q21="Arena",R29=TRUE)</f>
        <v>0</v>
      </c>
      <c r="T29" s="49" t="str">
        <f>IF(S29=TRUE," con arcilla","")</f>
        <v/>
      </c>
      <c r="U29" s="49" t="str">
        <f>IF(T29=" con arcilla"," SC","")</f>
        <v/>
      </c>
      <c r="V29" s="58"/>
      <c r="W29" s="49"/>
    </row>
    <row r="30" spans="2:27" ht="12.75" customHeight="1">
      <c r="B30" s="102" t="s">
        <v>120</v>
      </c>
      <c r="C30" s="153"/>
      <c r="D30" s="112"/>
      <c r="E30" s="46" t="str">
        <f>IF(OR(E27="",E28="",E29=""),"",E27/E29)</f>
        <v/>
      </c>
      <c r="F30" s="47"/>
      <c r="I30" s="162"/>
      <c r="J30" s="162"/>
      <c r="K30" s="162"/>
      <c r="L30" s="162"/>
      <c r="M30" s="163"/>
      <c r="N30" s="151"/>
      <c r="O30" s="49"/>
      <c r="P30" s="49"/>
      <c r="Q30" s="49"/>
      <c r="R30" s="49" t="b">
        <f>AND(D19&gt;=5,D19&lt;=12,OR(C23&lt;4,C23&lt;(0.73*(C21-20))))</f>
        <v>0</v>
      </c>
      <c r="S30" s="49" t="b">
        <f>AND(Q21="Arena",R30=TRUE)</f>
        <v>0</v>
      </c>
      <c r="T30" s="49" t="str">
        <f>IF(S30=TRUE," con limo","")</f>
        <v/>
      </c>
      <c r="U30" s="49" t="str">
        <f>IF(T30=" con limo"," SM","")</f>
        <v/>
      </c>
      <c r="V30" s="58"/>
      <c r="W30" s="49"/>
    </row>
    <row r="31" spans="2:27" ht="13.5" customHeight="1" thickBot="1">
      <c r="B31" s="103" t="s">
        <v>121</v>
      </c>
      <c r="C31" s="155"/>
      <c r="D31" s="117"/>
      <c r="E31" s="187" t="str">
        <f>IF(OR(E27="",E28="",E29=""),"",(E28*E28)/(E29*E27))</f>
        <v/>
      </c>
      <c r="F31" s="48"/>
      <c r="I31" s="162"/>
      <c r="J31" s="162"/>
      <c r="K31" s="162"/>
      <c r="L31" s="162"/>
      <c r="M31" s="163"/>
      <c r="N31" s="151"/>
      <c r="O31" s="49"/>
      <c r="P31" s="49"/>
      <c r="Q31" s="49"/>
      <c r="R31" s="49" t="b">
        <f>AND(D19&gt;=5,D19&lt;=12,C23&gt;(0.73*(C21-20)),C23&gt;=4,C23&lt;=7)</f>
        <v>0</v>
      </c>
      <c r="S31" s="49" t="b">
        <f>AND(Q21="Arena",R31=TRUE)</f>
        <v>0</v>
      </c>
      <c r="T31" s="49" t="str">
        <f>IF(S31=TRUE," con arcilla y limo","")</f>
        <v/>
      </c>
      <c r="U31" s="49" t="str">
        <f>IF(T31=" con arcilla y limo"," SC","")</f>
        <v/>
      </c>
      <c r="V31" s="58"/>
      <c r="W31" s="49"/>
    </row>
    <row r="32" spans="2:27" ht="13.5" customHeight="1">
      <c r="I32" s="162"/>
      <c r="J32" s="162"/>
      <c r="K32" s="162"/>
      <c r="L32" s="162"/>
      <c r="M32" s="163"/>
      <c r="N32" s="151"/>
      <c r="O32" s="49"/>
      <c r="P32" s="49"/>
      <c r="Q32" s="49"/>
      <c r="R32" s="49"/>
      <c r="S32" s="49" t="b">
        <f>AND(Q21="Arena",(F4+F5+F6+F7+F8+F9+F10+F11+F12+F13+F14)&gt;15)</f>
        <v>0</v>
      </c>
      <c r="T32" s="49" t="str">
        <f>IF(S32=TRUE," con grava","")</f>
        <v/>
      </c>
      <c r="U32" s="49"/>
      <c r="V32" s="58"/>
      <c r="W32" s="49"/>
    </row>
    <row r="33" spans="9:23" ht="12.75" customHeight="1">
      <c r="N33" s="151"/>
      <c r="O33" s="49"/>
      <c r="P33" s="49"/>
      <c r="Q33" s="49"/>
      <c r="R33" s="49"/>
      <c r="S33" s="49"/>
      <c r="T33" s="49"/>
      <c r="U33" s="49"/>
      <c r="V33" s="58"/>
      <c r="W33" s="49"/>
    </row>
    <row r="34" spans="9:23" ht="12.75" customHeight="1">
      <c r="N34" s="151"/>
      <c r="O34" s="49"/>
      <c r="P34" s="49"/>
      <c r="Q34" s="152" t="str">
        <f>IF(D19&gt;=50,"Suelo de partículas finas.","")</f>
        <v/>
      </c>
      <c r="R34" s="49"/>
      <c r="S34" s="49"/>
      <c r="T34" s="49"/>
      <c r="U34" s="49"/>
      <c r="V34" s="58"/>
      <c r="W34" s="49"/>
    </row>
    <row r="35" spans="9:23" ht="13.5" customHeight="1">
      <c r="N35" s="151" t="str">
        <f>IF(E26&gt;=50,"SI","No")</f>
        <v>No</v>
      </c>
      <c r="O35" s="49"/>
      <c r="P35" s="49"/>
      <c r="Q35" s="49"/>
      <c r="R35" s="49" t="b">
        <f>AND(C23&gt;(0.73*(C21-20)),C23&gt;7,C21&lt;30)</f>
        <v>0</v>
      </c>
      <c r="S35" s="49" t="b">
        <f>AND(N35="SI",R35=TRUE)</f>
        <v>0</v>
      </c>
      <c r="T35" s="49" t="str">
        <f>IF(S35=TRUE,"Arcilla baja plasticidad","")</f>
        <v/>
      </c>
      <c r="U35" s="49" t="str">
        <f>IF(T35="Arcilla baja plasticidad"," CL","")</f>
        <v/>
      </c>
      <c r="V35" s="58" t="str">
        <f>IF(AND(D19&gt;=50,E19&lt;30,E19&gt;15,(F4+F5+F6+F7+F8+F9+F10+F11+F12+F13+F14)&lt;=(F15+F16+F17+F18+F19))," con arena","")</f>
        <v/>
      </c>
      <c r="W35" s="49"/>
    </row>
    <row r="36" spans="9:23" ht="13.5" customHeight="1">
      <c r="N36" s="151"/>
      <c r="O36" s="49"/>
      <c r="P36" s="49"/>
      <c r="Q36" s="49"/>
      <c r="R36" s="49" t="b">
        <f>AND(C23&gt;(0.73*(C21-20)),C23&gt;4,C21&gt;=50)</f>
        <v>0</v>
      </c>
      <c r="S36" s="49" t="b">
        <f>AND(N35="SI",R36=TRUE)</f>
        <v>0</v>
      </c>
      <c r="T36" s="49" t="str">
        <f>IF(S36=TRUE,"Arcilla alta plasticidad","")</f>
        <v/>
      </c>
      <c r="U36" s="49" t="str">
        <f>IF(T36="Arcilla alta plasticidad"," CH","")</f>
        <v/>
      </c>
      <c r="V36" s="58" t="str">
        <f>IF(AND(D19&gt;=50,E19&lt;30,E19&gt;15,(F4+F5+F6+F7+F8+F9+F10+F11+F12+F13+F14)&gt;(F15+F16+F17+F18+F19))," con grava","")</f>
        <v/>
      </c>
      <c r="W36" s="49"/>
    </row>
    <row r="37" spans="9:23">
      <c r="N37" s="151"/>
      <c r="O37" s="49"/>
      <c r="P37" s="49"/>
      <c r="Q37" s="49"/>
      <c r="R37" s="49" t="b">
        <f>AND(C23&gt;=(0.73*(C21-20)),C23&gt;=4,C23&lt;=7)</f>
        <v>0</v>
      </c>
      <c r="S37" s="49" t="b">
        <f>AND(N35="SI",R37=TRUE)</f>
        <v>0</v>
      </c>
      <c r="T37" s="49" t="str">
        <f>IF(S37=TRUE,"Arcilla limosa","")</f>
        <v/>
      </c>
      <c r="U37" s="49" t="str">
        <f>IF(T37="Arcilla limosa"," CL-ML","")</f>
        <v/>
      </c>
      <c r="V37" s="58" t="str">
        <f>IF(AND(D19&gt;=50,E19&gt;=30,(F4+F5+F6+F7+F8+F9+F10+F11+F12+F13+F14)&lt;=(F15+F16+F17+F18+F19),OR(T35="Arcilla baja plasticidad",T36="Arcilla alta plasticidad",T37="Arcilla limosa",T40="Arcilla media plasticidad"))," arenosa","")</f>
        <v/>
      </c>
      <c r="W37" s="49"/>
    </row>
    <row r="38" spans="9:23">
      <c r="N38" s="151"/>
      <c r="O38" s="49"/>
      <c r="P38" s="49"/>
      <c r="Q38" s="49"/>
      <c r="R38" s="49" t="b">
        <f>AND(OR(C23&lt;(0.73*(C21-20)),C23&lt;4),C21&lt;30)</f>
        <v>1</v>
      </c>
      <c r="S38" s="49" t="b">
        <f>AND(N35="SI",R38=TRUE)</f>
        <v>0</v>
      </c>
      <c r="T38" s="49" t="str">
        <f>IF(S38=TRUE,"Limo baja plasticidad","")</f>
        <v/>
      </c>
      <c r="U38" s="49" t="str">
        <f>IF(T38="Limo baja plasticidad"," ML","")</f>
        <v/>
      </c>
      <c r="V38" s="58" t="str">
        <f>IF(AND(D19&gt;=50,E19&gt;=30,(F4+F5+F6+F7+F8+F9+F10+F11+F12+F13+F14)&gt;(F15+F16+F17+F18+F19),OR(T35="Arcilla baja plasticidad",T36="Arcilla alta plasticidad",T37="Arcilla limosa",T40="Arcilla media plasticidad"))," gravosa","")</f>
        <v/>
      </c>
      <c r="W38" s="49"/>
    </row>
    <row r="39" spans="9:23" ht="12.75" customHeight="1">
      <c r="N39" s="151"/>
      <c r="O39" s="49"/>
      <c r="P39" s="49"/>
      <c r="Q39" s="49"/>
      <c r="R39" s="49" t="b">
        <f>AND(OR(C23&lt;(0.73*(C21-20)),C23&lt;4),C21&gt;=50)</f>
        <v>0</v>
      </c>
      <c r="S39" s="49" t="b">
        <f>AND(N35="SI",R39=TRUE)</f>
        <v>0</v>
      </c>
      <c r="T39" s="49" t="str">
        <f>IF(S39=TRUE,"Limo alta plasticidad","")</f>
        <v/>
      </c>
      <c r="U39" s="49" t="str">
        <f>IF(T39="Limo alta plasticidad"," MH","")</f>
        <v/>
      </c>
      <c r="V39" s="58" t="str">
        <f>IF(AND(D19&gt;=50,E19&gt;=30,(F4+F5+F6+F7+F8+F9+F10+F11+F12+F13+F14)&lt;=(F15+F16+F17+F18+F19),OR(T38="Limo baja plasticidad",T39="Limo alta plasticidad",T41="Limo baja plasticidad"))," arenoso","")</f>
        <v/>
      </c>
      <c r="W39" s="49"/>
    </row>
    <row r="40" spans="9:23">
      <c r="N40" s="151"/>
      <c r="O40" s="49"/>
      <c r="P40" s="49"/>
      <c r="Q40" s="49"/>
      <c r="R40" s="49" t="b">
        <f>AND(C23&gt;(0.73*(C21-20)),C23&gt;7,AND(C21&gt;=30,C21&lt;50))</f>
        <v>0</v>
      </c>
      <c r="S40" s="49" t="b">
        <f>AND(N35="SI",R40=TRUE)</f>
        <v>0</v>
      </c>
      <c r="T40" s="49" t="str">
        <f>IF(S40=TRUE,"Arcilla media plasticidad","")</f>
        <v/>
      </c>
      <c r="U40" s="49" t="str">
        <f>IF(T40="Arcilla media plasticidad"," CL","")</f>
        <v/>
      </c>
      <c r="V40" s="58" t="str">
        <f>IF(AND(D19&gt;=50,E19&gt;=30,(F4+F5+F6+F7+F8+F9+F10+F11+F12+F13+F14)&gt;(F15+F16+F17+F18+F19),OR(T38="Limo baja plasticidad",T39="Limo alta plasticidad",T41="Limo baja plasticidad"))," gravoso","")</f>
        <v/>
      </c>
      <c r="W40" s="49"/>
    </row>
    <row r="41" spans="9:23" ht="13.5" customHeight="1">
      <c r="N41" s="151"/>
      <c r="O41" s="49"/>
      <c r="P41" s="49"/>
      <c r="Q41" s="49"/>
      <c r="R41" s="49" t="b">
        <f>AND(OR(C23&lt;(0.73*(C21-20)),C23&lt;4),AND(C21&gt;30,C21&lt;50))</f>
        <v>0</v>
      </c>
      <c r="S41" s="49" t="b">
        <f>AND(N35="SI",R41=TRUE)</f>
        <v>0</v>
      </c>
      <c r="T41" s="49" t="str">
        <f>IF(S41=TRUE,"Limo baja plasticidad","")</f>
        <v/>
      </c>
      <c r="U41" s="49" t="str">
        <f>IF(T41="Limo baja plasticidad"," ML","")</f>
        <v/>
      </c>
      <c r="V41" s="58"/>
      <c r="W41" s="49"/>
    </row>
    <row r="42" spans="9:23" ht="12.75" customHeight="1">
      <c r="N42" s="90" t="str">
        <f>CONCATENATE(Q5,Q6,Q7,Q8,Q34)</f>
        <v>Suelo de partículas gruesas. Suelo de partículas gruesas con finos (suelo sucio).</v>
      </c>
      <c r="O42" s="91"/>
      <c r="P42" s="91"/>
      <c r="Q42" s="148"/>
      <c r="R42" s="91"/>
      <c r="S42" s="91"/>
      <c r="T42" s="91"/>
      <c r="U42" s="91"/>
      <c r="V42" s="148"/>
      <c r="W42" s="49"/>
    </row>
    <row r="43" spans="9:23">
      <c r="N43" s="95" t="str">
        <f>CONCATENATE(Q9,Q21)</f>
        <v>Grava</v>
      </c>
      <c r="O43" s="55" t="str">
        <f>CONCATENATE(T10,T11,T12,T13,T14,T15,T16,T17,T18,T19,T20,T22,T23,T24,T25,T26,T27,T28,T29,T30,T31,T32,T35,T36,T37,T38,T39,T40,T41)</f>
        <v xml:space="preserve"> limosa con arena</v>
      </c>
      <c r="P43" s="55" t="str">
        <f>CONCATENATE(V35,V36,V37,V38,V39,V40,V9)</f>
        <v/>
      </c>
      <c r="Q43" s="149" t="str">
        <f>CONCATENATE(U10,U11,U12,U13,U14,U15,U16,U17,U18,U19,U22,U23,U24,U25,U26,U27,U28,U29,U30,U31,U35,U36,U37,U38,U39,U40,U41)</f>
        <v xml:space="preserve"> GM</v>
      </c>
      <c r="R43" s="55" t="str">
        <f>CONCATENATE(N43,O43,P43,Q43)</f>
        <v>Grava limosa con arena GM</v>
      </c>
      <c r="S43" s="55"/>
      <c r="T43" s="55"/>
      <c r="U43" s="55"/>
      <c r="V43" s="149"/>
      <c r="W43" s="49"/>
    </row>
    <row r="45" spans="9:23" ht="13.5" customHeight="1">
      <c r="I45" s="9"/>
      <c r="J45" s="9"/>
      <c r="K45" s="9"/>
      <c r="L45" s="61"/>
      <c r="N45" s="159" t="s">
        <v>132</v>
      </c>
      <c r="O45" s="160"/>
      <c r="P45" s="160"/>
      <c r="Q45" s="161"/>
    </row>
    <row r="46" spans="9:23" ht="12.75" customHeight="1">
      <c r="I46" s="49"/>
      <c r="J46" s="49"/>
      <c r="K46" s="71"/>
      <c r="L46" s="49"/>
      <c r="N46" s="90" t="str">
        <f>IF(ROUND(D19,0)&lt;=35,"Material granular","")</f>
        <v>Material granular</v>
      </c>
      <c r="O46" s="91"/>
      <c r="P46" s="91"/>
      <c r="Q46" s="148"/>
    </row>
    <row r="47" spans="9:23" ht="13.5" customHeight="1">
      <c r="I47" s="49"/>
      <c r="J47" s="49"/>
      <c r="K47" s="71"/>
      <c r="L47" s="49"/>
      <c r="N47" s="151" t="str">
        <f>IF(N46="Material granular","Excelente a bueno como subgrado","")</f>
        <v>Excelente a bueno como subgrado</v>
      </c>
      <c r="O47" s="49"/>
      <c r="P47" s="49"/>
      <c r="Q47" s="58"/>
    </row>
    <row r="48" spans="9:23" ht="12.75" customHeight="1">
      <c r="I48" s="49"/>
      <c r="J48" s="49"/>
      <c r="K48" s="71"/>
      <c r="L48" s="49"/>
      <c r="N48" s="151"/>
      <c r="O48" s="49"/>
      <c r="P48" s="49" t="str">
        <f>IF(AND(ROUND(D19,0)&lt;=35,ROUND(D15,0)&lt;=50,ROUND(D17,0)&lt;=30,ROUND(D19,0)&lt;=15,ROUND(C23,0)&lt;=6),"A-1-a","")</f>
        <v/>
      </c>
      <c r="Q48" s="58" t="str">
        <f>IF(P48="A-1-a"," Fragmentos de roca, grava y arena","")</f>
        <v/>
      </c>
    </row>
    <row r="49" spans="2:20" ht="12.75" customHeight="1">
      <c r="I49" s="49"/>
      <c r="J49" s="49"/>
      <c r="K49" s="71"/>
      <c r="L49" s="49"/>
      <c r="N49" s="151"/>
      <c r="O49" s="49"/>
      <c r="P49" s="49" t="str">
        <f>IF(AND(ROUND(D19,0)&lt;=35,ROUND(D17,0)&lt;=50,ROUND(D19,0)&lt;=25,ROUND(C23,0)&lt;=6,P48=""),"A-1-b","")</f>
        <v/>
      </c>
      <c r="Q49" s="58" t="str">
        <f>IF(P49="A-1-b"," Fragmentos de roca, grava y arena","")</f>
        <v/>
      </c>
    </row>
    <row r="50" spans="2:20">
      <c r="I50" s="49"/>
      <c r="J50" s="49"/>
      <c r="K50" s="49"/>
      <c r="L50" s="49"/>
      <c r="N50" s="151"/>
      <c r="O50" s="49"/>
      <c r="P50" s="49" t="str">
        <f>IF(AND(ROUND(D19,0)&lt;=35,ROUND(D17,0)&gt;=51,ROUND(D19,0)&lt;=10,OR(ROUND(C23,0)=0,ROUND(C23,0)=""),P48="",P49=""),"A-3","")</f>
        <v/>
      </c>
      <c r="Q50" s="58" t="str">
        <f>IF(P50="A-3"," Arena fina","")</f>
        <v/>
      </c>
    </row>
    <row r="51" spans="2:20" ht="12.75" customHeight="1">
      <c r="I51" s="49"/>
      <c r="J51" s="72"/>
      <c r="K51" s="73"/>
      <c r="L51" s="49"/>
      <c r="N51" s="151"/>
      <c r="O51" s="49"/>
      <c r="P51" s="49" t="str">
        <f>IF(AND(ROUND(D19,0)&lt;=35,ROUND(C21,0)&lt;=40,ROUND(C23,0)&lt;=10,P48="",P49="",P50=""),"A-2-4","")</f>
        <v>A-2-4</v>
      </c>
      <c r="Q51" s="58" t="str">
        <f>IF(P51="A-2-4"," Grava y arena arcillosa o limosa","")</f>
        <v xml:space="preserve"> Grava y arena arcillosa o limosa</v>
      </c>
    </row>
    <row r="52" spans="2:20">
      <c r="I52" s="49"/>
      <c r="J52" s="49"/>
      <c r="K52" s="49"/>
      <c r="L52" s="49"/>
      <c r="N52" s="151"/>
      <c r="O52" s="49"/>
      <c r="P52" s="49" t="str">
        <f>IF(AND(ROUND(D19,0)&lt;=35,ROUND(C21,0)&gt;=41,ROUND(C23,0)&lt;=10,P48="",P49="",P50="",P51=""),"A-2-5","")</f>
        <v/>
      </c>
      <c r="Q52" s="58" t="str">
        <f>IF(P52="A-2-5"," Grava y arena arcillosa o limosa","")</f>
        <v/>
      </c>
      <c r="T52" s="42"/>
    </row>
    <row r="53" spans="2:20" ht="13.5" customHeight="1">
      <c r="I53" s="49"/>
      <c r="J53" s="49"/>
      <c r="K53" s="49"/>
      <c r="L53" s="49"/>
      <c r="N53" s="151"/>
      <c r="O53" s="49"/>
      <c r="P53" s="49" t="str">
        <f>IF(AND(ROUND(D19,0)&lt;=35,ROUND(C21,0)&lt;=40,ROUND(C23,0)&gt;=11,P48="",P49="",P50="",P51="",P52=""),"A-2-6","")</f>
        <v/>
      </c>
      <c r="Q53" s="58" t="str">
        <f>IF(P53="A-2-6"," Grava y arena arcillosa o limosa","")</f>
        <v/>
      </c>
      <c r="T53" s="42"/>
    </row>
    <row r="54" spans="2:20" ht="12.75" customHeight="1">
      <c r="I54" s="49"/>
      <c r="J54" s="49"/>
      <c r="K54" s="49"/>
      <c r="L54" s="49"/>
      <c r="N54" s="151"/>
      <c r="O54" s="49"/>
      <c r="P54" s="49" t="str">
        <f>IF(AND(ROUND(D19,0)&lt;=35,ROUND(C21,0)&gt;=41,ROUND(C23,0)&gt;=11,P48="",P49="",P50="",P51="",P52="",P53=""),"A-2-7","")</f>
        <v/>
      </c>
      <c r="Q54" s="58" t="str">
        <f>IF(P54="A-2-7"," Grava y arena arcillosa o limosa","")</f>
        <v/>
      </c>
      <c r="T54" s="42"/>
    </row>
    <row r="55" spans="2:20">
      <c r="I55" s="49"/>
      <c r="J55" s="72"/>
      <c r="K55" s="73"/>
      <c r="L55" s="49"/>
      <c r="N55" s="151" t="str">
        <f>IF(ROUND(D19,0)&gt;35,"Material limoso-arenoso","")</f>
        <v/>
      </c>
      <c r="O55" s="49"/>
      <c r="P55" s="49"/>
      <c r="Q55" s="58"/>
    </row>
    <row r="56" spans="2:20">
      <c r="N56" s="151" t="str">
        <f>IF(N55="Material limoso-arenoso","Pobre a malo como subgrado","")</f>
        <v/>
      </c>
      <c r="O56" s="49"/>
      <c r="P56" s="49"/>
      <c r="Q56" s="58"/>
    </row>
    <row r="57" spans="2:20" ht="12.75" customHeight="1">
      <c r="B57" s="1">
        <f>0.9*(D57-8)</f>
        <v>-7.2</v>
      </c>
      <c r="D57" s="1">
        <v>0</v>
      </c>
      <c r="E57" s="5"/>
      <c r="F57" s="5"/>
      <c r="M57" s="9"/>
      <c r="N57" s="151"/>
      <c r="O57" s="49"/>
      <c r="P57" s="49" t="str">
        <f>IF(AND(ROUND(D19,0)&gt;=36,ROUND(C21,0)&lt;=40,ROUND(C23,0)&lt;=10),"A-4","")</f>
        <v/>
      </c>
      <c r="Q57" s="58" t="str">
        <f>IF(P57="A-4"," Suelo limoso","")</f>
        <v/>
      </c>
    </row>
    <row r="58" spans="2:20" ht="12.75" customHeight="1">
      <c r="B58" s="1">
        <f>0.9*(D58-8)</f>
        <v>15.732000000000001</v>
      </c>
      <c r="D58" s="1">
        <v>25.48</v>
      </c>
      <c r="E58" s="5">
        <f>IF(0.73*(D58-20)&lt;0,0,0.73*(D58-20))</f>
        <v>4.0004</v>
      </c>
      <c r="F58" s="5"/>
      <c r="M58" s="9"/>
      <c r="N58" s="151"/>
      <c r="O58" s="49"/>
      <c r="P58" s="49" t="str">
        <f>IF(AND(ROUND(D19,0)&gt;=36,ROUND(C21,0)&gt;=41,ROUND(C23,0)&lt;=10,P57=""),"A-5","")</f>
        <v/>
      </c>
      <c r="Q58" s="58" t="str">
        <f>IF(P58="A-5"," Suelo limoso","")</f>
        <v/>
      </c>
    </row>
    <row r="59" spans="2:20">
      <c r="B59" s="1">
        <f>0.9*(D59-8)</f>
        <v>82.8</v>
      </c>
      <c r="D59" s="1">
        <v>100</v>
      </c>
      <c r="E59" s="5">
        <f>IF(0.73*(D59-20)&lt;0,0,0.73*(D59-20))</f>
        <v>58.4</v>
      </c>
      <c r="F59" s="5"/>
      <c r="N59" s="151"/>
      <c r="O59" s="49"/>
      <c r="P59" s="49" t="str">
        <f>IF(AND(ROUND(D19,0)&gt;=36,ROUND(C21,0)&lt;=40,ROUND(C23,0)&gt;=11,P57="",P58=""),"A-6","")</f>
        <v/>
      </c>
      <c r="Q59" s="58" t="str">
        <f>IF(P59="A-6"," Suelo arcilloso","")</f>
        <v/>
      </c>
    </row>
    <row r="60" spans="2:20">
      <c r="E60" s="5"/>
      <c r="F60" s="5"/>
      <c r="N60" s="151"/>
      <c r="O60" s="49"/>
      <c r="P60" s="49" t="str">
        <f>IF(AND(ROUND(D19,0)&gt;=36,ROUND(C21,0)&gt;=41,ROUND(C23,0)&gt;=11,ROUND(C23,0)&lt;=(ROUND(C21,0)-30),P57="",P58="",P59=""),"A-7-5","")</f>
        <v/>
      </c>
      <c r="Q60" s="58" t="str">
        <f>IF(P60="A-7-5"," Suelo arcilloso","")</f>
        <v/>
      </c>
    </row>
    <row r="61" spans="2:20" ht="13.5" customHeight="1">
      <c r="B61" s="1">
        <v>50</v>
      </c>
      <c r="D61" s="1">
        <v>0</v>
      </c>
      <c r="E61" s="1">
        <v>4</v>
      </c>
      <c r="F61" s="118">
        <v>10</v>
      </c>
      <c r="N61" s="151"/>
      <c r="O61" s="49"/>
      <c r="P61" s="49" t="str">
        <f>IF(AND(ROUND(D19,0)&gt;=36,ROUND(C21,0)&gt;=41,ROUND(C23,0)&gt;=11,ROUND(C23,0)&gt;(ROUND(C21,0)-30),P57="",P58="",P59="",P60=""),"A-7-6","")</f>
        <v/>
      </c>
      <c r="Q61" s="58" t="str">
        <f>IF(P61="A-7-6"," Suelo arcilloso","")</f>
        <v/>
      </c>
    </row>
    <row r="62" spans="2:20">
      <c r="B62" s="1">
        <v>50</v>
      </c>
      <c r="D62" s="1">
        <v>60</v>
      </c>
      <c r="E62" s="1">
        <v>4</v>
      </c>
      <c r="F62" s="118">
        <v>25</v>
      </c>
      <c r="N62" s="95"/>
      <c r="O62" s="55"/>
      <c r="P62" s="55" t="str">
        <f>IF(AND(ROUND(D19,0)&gt;=36,ROUND(C21,0)&gt;=41,ROUND(C23,0)&gt;=11,P57="",P58="",P59="",P60="",P61=""),"A-7","")</f>
        <v/>
      </c>
      <c r="Q62" s="149" t="str">
        <f>IF(P62="A-7"," Suelo arcilloso","")</f>
        <v/>
      </c>
    </row>
    <row r="63" spans="2:20">
      <c r="F63" s="118"/>
      <c r="N63" s="83" t="str">
        <f>CONCATENATE(N46,N55)</f>
        <v>Material granular</v>
      </c>
      <c r="O63" s="8"/>
      <c r="P63" s="8"/>
      <c r="Q63" s="53"/>
    </row>
    <row r="64" spans="2:20">
      <c r="B64" s="1">
        <v>30</v>
      </c>
      <c r="D64" s="1">
        <v>8</v>
      </c>
      <c r="E64" s="1">
        <v>20</v>
      </c>
      <c r="F64" s="119" t="e">
        <f>IF(#REF!&lt;0,0,#REF!)</f>
        <v>#REF!</v>
      </c>
      <c r="N64" s="59" t="str">
        <f>CONCATENATE(N47,N56)</f>
        <v>Excelente a bueno como subgrado</v>
      </c>
      <c r="O64" s="9"/>
      <c r="P64" s="9"/>
      <c r="Q64" s="54"/>
    </row>
    <row r="65" spans="2:17" ht="12.75" customHeight="1">
      <c r="B65" s="1">
        <v>30</v>
      </c>
      <c r="D65" s="1">
        <v>20</v>
      </c>
      <c r="E65" s="1">
        <v>25.48</v>
      </c>
      <c r="F65" s="119">
        <v>4</v>
      </c>
      <c r="N65" s="60" t="str">
        <f>CONCATENATE(P48,P49,P50,P51,P52,P53,P54,P55,P56,P57,P58,P59,P60,P61,P62)</f>
        <v>A-2-4</v>
      </c>
      <c r="O65" s="10" t="str">
        <f>CONCATENATE(Q48,Q49,Q50,Q51,Q52,Q53,Q54,Q55,Q56,Q57,Q58,Q59,Q60,Q61,Q62)</f>
        <v xml:space="preserve"> Grava y arena arcillosa o limosa</v>
      </c>
      <c r="P65" s="10" t="str">
        <f>CONCATENATE(N65,O65)</f>
        <v>A-2-4 Grava y arena arcillosa o limosa</v>
      </c>
      <c r="Q65" s="56"/>
    </row>
    <row r="66" spans="2:17">
      <c r="E66" s="5"/>
      <c r="F66" s="5"/>
    </row>
    <row r="67" spans="2:17">
      <c r="B67" s="1">
        <v>7</v>
      </c>
      <c r="D67" s="1">
        <v>10</v>
      </c>
      <c r="E67" s="5"/>
      <c r="F67" s="5"/>
    </row>
    <row r="68" spans="2:17" ht="13.5" customHeight="1">
      <c r="B68" s="1">
        <v>7</v>
      </c>
      <c r="D68" s="1">
        <v>30</v>
      </c>
      <c r="E68" s="5"/>
      <c r="F68" s="5"/>
    </row>
    <row r="69" spans="2:17" ht="12.75" customHeight="1"/>
    <row r="70" spans="2:17" ht="12.75" customHeight="1"/>
    <row r="71" spans="2:17" ht="13.5" thickBot="1"/>
    <row r="72" spans="2:17" ht="13.5" customHeight="1" thickBot="1">
      <c r="B72" s="352" t="s">
        <v>131</v>
      </c>
      <c r="C72" s="353"/>
      <c r="D72" s="353"/>
      <c r="E72" s="353"/>
      <c r="F72" s="354"/>
    </row>
    <row r="73" spans="2:17">
      <c r="B73" s="355" t="str">
        <f>IF(AND(C4="",C5="",C6="",C7="",C8="",C9="",C10="",C11="",C12="",C13="",C14="",C15="",C16="",C17="",C18="",C19=""),"",N42)</f>
        <v>Suelo de partículas gruesas. Suelo de partículas gruesas con finos (suelo sucio).</v>
      </c>
      <c r="C73" s="356"/>
      <c r="D73" s="356"/>
      <c r="E73" s="356"/>
      <c r="F73" s="357"/>
    </row>
    <row r="74" spans="2:17" ht="13.5" customHeight="1" thickBot="1">
      <c r="B74" s="358" t="str">
        <f>IF(AND(C4="",C5="",C6="",C7="",C8="",C9="",C10="",C11="",C12="",C13="",C14="",C15="",C16="",C17="",C18="",C19=""),"",R43)</f>
        <v>Grava limosa con arena GM</v>
      </c>
      <c r="C74" s="359"/>
      <c r="D74" s="359"/>
      <c r="E74" s="359"/>
      <c r="F74" s="360"/>
    </row>
    <row r="75" spans="2:17">
      <c r="B75" s="121"/>
      <c r="C75" s="121"/>
      <c r="D75" s="9"/>
      <c r="E75" s="9"/>
      <c r="F75" s="9"/>
    </row>
    <row r="77" spans="2:17" ht="12.75" customHeight="1"/>
    <row r="82" spans="9:12">
      <c r="L82" s="9"/>
    </row>
    <row r="83" spans="9:12">
      <c r="L83" s="9"/>
    </row>
    <row r="84" spans="9:12">
      <c r="L84" s="9"/>
    </row>
    <row r="85" spans="9:12">
      <c r="I85" s="9"/>
      <c r="J85" s="9"/>
      <c r="K85" s="9"/>
      <c r="L85" s="9"/>
    </row>
    <row r="86" spans="9:12">
      <c r="I86" s="9"/>
      <c r="J86" s="9"/>
      <c r="K86" s="9"/>
    </row>
    <row r="87" spans="9:12">
      <c r="I87" s="9"/>
      <c r="J87" s="9"/>
      <c r="K87" s="9"/>
      <c r="L87" s="9"/>
    </row>
    <row r="88" spans="9:12">
      <c r="I88" s="9"/>
      <c r="J88" s="9"/>
      <c r="L88" s="9"/>
    </row>
  </sheetData>
  <sheetProtection password="CC53" sheet="1" objects="1" scenarios="1"/>
  <mergeCells count="4">
    <mergeCell ref="I2:L2"/>
    <mergeCell ref="B72:F72"/>
    <mergeCell ref="B73:F73"/>
    <mergeCell ref="B74:F74"/>
  </mergeCells>
  <phoneticPr fontId="0" type="noConversion"/>
  <printOptions horizontalCentered="1"/>
  <pageMargins left="0.19685039370078741" right="0.19685039370078741" top="0.59055118110236227" bottom="0.59055118110236227" header="0.39370078740157483" footer="0.39370078740157483"/>
  <pageSetup scale="76" orientation="portrait" r:id="rId1"/>
  <headerFooter alignWithMargins="0">
    <oddFooter>&amp;C&amp;8Jordi González Boada
j.boada@wanadoo.es
http://perso.wanadoo.es/j.boada&amp;R&amp;8&amp;D</oddFooter>
  </headerFooter>
  <colBreaks count="1" manualBreakCount="1">
    <brk id="7" max="73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Y53"/>
  <sheetViews>
    <sheetView view="pageBreakPreview" zoomScale="106" zoomScaleNormal="100" zoomScaleSheetLayoutView="106" workbookViewId="0"/>
  </sheetViews>
  <sheetFormatPr baseColWidth="10" defaultRowHeight="12.75"/>
  <cols>
    <col min="1" max="1" width="3" style="1" customWidth="1"/>
    <col min="2" max="2" width="23.42578125" style="1" bestFit="1" customWidth="1"/>
    <col min="3" max="4" width="9" style="1" customWidth="1"/>
    <col min="5" max="5" width="3" style="1" customWidth="1"/>
    <col min="6" max="11" width="11.42578125" style="1"/>
    <col min="12" max="12" width="3" style="1" customWidth="1"/>
    <col min="13" max="21" width="7.140625" style="1" hidden="1" customWidth="1"/>
    <col min="22" max="22" width="1.42578125" style="1" hidden="1" customWidth="1"/>
    <col min="23" max="25" width="7.42578125" style="1" hidden="1" customWidth="1"/>
    <col min="26" max="16384" width="11.42578125" style="1"/>
  </cols>
  <sheetData>
    <row r="1" spans="2:25" ht="13.5" thickBot="1"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2:25">
      <c r="B2" s="214" t="s">
        <v>159</v>
      </c>
      <c r="C2" s="215" t="s">
        <v>187</v>
      </c>
      <c r="D2" s="216" t="s">
        <v>189</v>
      </c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2:25" ht="13.5" thickBot="1">
      <c r="B3" s="217" t="s">
        <v>165</v>
      </c>
      <c r="C3" s="218" t="s">
        <v>188</v>
      </c>
      <c r="D3" s="219" t="s">
        <v>188</v>
      </c>
      <c r="M3" s="90" t="s">
        <v>131</v>
      </c>
      <c r="N3" s="91"/>
      <c r="O3" s="91"/>
      <c r="P3" s="91"/>
      <c r="Q3" s="91"/>
      <c r="R3" s="91"/>
      <c r="S3" s="91"/>
      <c r="T3" s="91"/>
      <c r="U3" s="148"/>
      <c r="V3" s="186"/>
      <c r="W3" s="173" t="s">
        <v>190</v>
      </c>
      <c r="X3" s="175" t="s">
        <v>191</v>
      </c>
      <c r="Y3" s="174" t="s">
        <v>192</v>
      </c>
    </row>
    <row r="4" spans="2:25">
      <c r="B4" s="220">
        <v>100</v>
      </c>
      <c r="C4" s="255">
        <v>100</v>
      </c>
      <c r="D4" s="224">
        <f t="shared" ref="D4:D19" si="0">IF(C4="",100,C4)</f>
        <v>100</v>
      </c>
      <c r="F4" s="230" t="s">
        <v>124</v>
      </c>
      <c r="G4" s="231"/>
      <c r="H4" s="231"/>
      <c r="I4" s="241">
        <f>X24</f>
        <v>42.70142180094787</v>
      </c>
      <c r="J4" s="236" t="s">
        <v>119</v>
      </c>
      <c r="K4" s="237"/>
      <c r="M4" s="95"/>
      <c r="N4" s="55"/>
      <c r="O4" s="55"/>
      <c r="P4" s="55"/>
      <c r="Q4" s="55"/>
      <c r="R4" s="55"/>
      <c r="S4" s="55"/>
      <c r="T4" s="55"/>
      <c r="U4" s="149"/>
      <c r="V4" s="49"/>
      <c r="W4" s="176" t="str">
        <f t="shared" ref="W4:W18" si="1">IF(AND(D4=60,D5=60),((B4+B5)/2),IF(AND(D4&gt;=60,D5&lt;=60),FORECAST(60,B4:B5,D4:D5),""))</f>
        <v/>
      </c>
      <c r="X4" s="203" t="str">
        <f t="shared" ref="X4:X18" si="2">IF(AND(D4=30,D5=30),((B4+B5)/2),IF(AND(D4&gt;=30,D5&lt;=30),FORECAST(30,B4:B5,D4:D5),""))</f>
        <v/>
      </c>
      <c r="Y4" s="245" t="str">
        <f t="shared" ref="Y4:Y18" si="3">IF(AND(D4=10,D5=10),((B4+B5)/2),IF(AND(D4&gt;=10,D5&lt;=10),FORECAST(10,B4:B5,D4:D5),""))</f>
        <v/>
      </c>
    </row>
    <row r="5" spans="2:25">
      <c r="B5" s="221">
        <v>80</v>
      </c>
      <c r="C5" s="255">
        <v>100</v>
      </c>
      <c r="D5" s="225">
        <f t="shared" si="0"/>
        <v>100</v>
      </c>
      <c r="F5" s="232" t="s">
        <v>125</v>
      </c>
      <c r="G5" s="213"/>
      <c r="H5" s="213"/>
      <c r="I5" s="71">
        <f>X25</f>
        <v>12.5</v>
      </c>
      <c r="J5" s="49" t="s">
        <v>119</v>
      </c>
      <c r="K5" s="239"/>
      <c r="M5" s="90"/>
      <c r="N5" s="91"/>
      <c r="O5" s="91"/>
      <c r="P5" s="150" t="str">
        <f>IF(D19&lt;50,"Suelo de partículas gruesas.","")</f>
        <v>Suelo de partículas gruesas.</v>
      </c>
      <c r="Q5" s="91"/>
      <c r="R5" s="91"/>
      <c r="S5" s="91"/>
      <c r="T5" s="91"/>
      <c r="U5" s="148"/>
      <c r="V5" s="49"/>
      <c r="W5" s="179" t="str">
        <f t="shared" si="1"/>
        <v/>
      </c>
      <c r="X5" s="204" t="str">
        <f t="shared" si="2"/>
        <v/>
      </c>
      <c r="Y5" s="206" t="str">
        <f t="shared" si="3"/>
        <v/>
      </c>
    </row>
    <row r="6" spans="2:25">
      <c r="B6" s="221">
        <v>63</v>
      </c>
      <c r="C6" s="255">
        <v>85.4</v>
      </c>
      <c r="D6" s="225">
        <f t="shared" si="0"/>
        <v>85.4</v>
      </c>
      <c r="F6" s="232" t="s">
        <v>196</v>
      </c>
      <c r="G6" s="213"/>
      <c r="H6" s="213"/>
      <c r="I6" s="71">
        <f>X26</f>
        <v>0.27121951219512208</v>
      </c>
      <c r="J6" s="49" t="s">
        <v>119</v>
      </c>
      <c r="K6" s="239"/>
      <c r="M6" s="151"/>
      <c r="N6" s="49"/>
      <c r="O6" s="49"/>
      <c r="P6" s="49" t="str">
        <f>IF(D19&lt;5," Suelo limpio.","")</f>
        <v/>
      </c>
      <c r="Q6" s="49"/>
      <c r="R6" s="49"/>
      <c r="S6" s="49"/>
      <c r="T6" s="49"/>
      <c r="U6" s="58"/>
      <c r="V6" s="49"/>
      <c r="W6" s="179" t="str">
        <f t="shared" si="1"/>
        <v/>
      </c>
      <c r="X6" s="204" t="str">
        <f t="shared" si="2"/>
        <v/>
      </c>
      <c r="Y6" s="206" t="str">
        <f t="shared" si="3"/>
        <v/>
      </c>
    </row>
    <row r="7" spans="2:25">
      <c r="B7" s="221">
        <v>50</v>
      </c>
      <c r="C7" s="255">
        <v>75.400000000000006</v>
      </c>
      <c r="D7" s="225">
        <f t="shared" si="0"/>
        <v>75.400000000000006</v>
      </c>
      <c r="F7" s="233" t="s">
        <v>120</v>
      </c>
      <c r="G7" s="213"/>
      <c r="H7" s="213"/>
      <c r="I7" s="71">
        <f>X27</f>
        <v>157.44229261140845</v>
      </c>
      <c r="J7" s="49"/>
      <c r="K7" s="239"/>
      <c r="M7" s="151"/>
      <c r="N7" s="49"/>
      <c r="O7" s="49"/>
      <c r="P7" s="49" t="str">
        <f>IF(AND(D19&gt;12,D19&lt;50)," Suelo de partículas gruesas con finos (suelo sucio).","")</f>
        <v/>
      </c>
      <c r="Q7" s="49"/>
      <c r="R7" s="49"/>
      <c r="S7" s="49"/>
      <c r="T7" s="49"/>
      <c r="U7" s="58"/>
      <c r="V7" s="49"/>
      <c r="W7" s="179">
        <f t="shared" si="1"/>
        <v>42.70142180094787</v>
      </c>
      <c r="X7" s="204" t="str">
        <f t="shared" si="2"/>
        <v/>
      </c>
      <c r="Y7" s="206" t="str">
        <f t="shared" si="3"/>
        <v/>
      </c>
    </row>
    <row r="8" spans="2:25" ht="13.5" thickBot="1">
      <c r="B8" s="221">
        <v>40</v>
      </c>
      <c r="C8" s="255">
        <v>54.3</v>
      </c>
      <c r="D8" s="225">
        <f t="shared" si="0"/>
        <v>54.3</v>
      </c>
      <c r="F8" s="234" t="s">
        <v>121</v>
      </c>
      <c r="G8" s="235"/>
      <c r="H8" s="235"/>
      <c r="I8" s="242">
        <f>X28</f>
        <v>13.491391958575196</v>
      </c>
      <c r="J8" s="243"/>
      <c r="K8" s="240"/>
      <c r="M8" s="151"/>
      <c r="N8" s="49"/>
      <c r="O8" s="49"/>
      <c r="P8" s="49" t="str">
        <f>IF(AND(D19&gt;=5,D19&lt;=12),"( Nomenclatura con símbolo doble).","")</f>
        <v>( Nomenclatura con símbolo doble).</v>
      </c>
      <c r="Q8" s="49"/>
      <c r="R8" s="49"/>
      <c r="S8" s="49"/>
      <c r="T8" s="49"/>
      <c r="U8" s="58"/>
      <c r="V8" s="49"/>
      <c r="W8" s="179" t="str">
        <f t="shared" si="1"/>
        <v/>
      </c>
      <c r="X8" s="204" t="str">
        <f t="shared" si="2"/>
        <v/>
      </c>
      <c r="Y8" s="206" t="str">
        <f t="shared" si="3"/>
        <v/>
      </c>
    </row>
    <row r="9" spans="2:25">
      <c r="B9" s="221">
        <v>25</v>
      </c>
      <c r="C9" s="255">
        <v>44.2</v>
      </c>
      <c r="D9" s="225">
        <f t="shared" si="0"/>
        <v>44.2</v>
      </c>
      <c r="M9" s="151" t="str">
        <f>IF(X23&lt;50,"SI","No")</f>
        <v>SI</v>
      </c>
      <c r="N9" s="49" t="str">
        <f>IF(W42&gt;W47/2,"SI","No")</f>
        <v>SI</v>
      </c>
      <c r="O9" s="49" t="b">
        <f>AND(M9="SI",N9="SI")</f>
        <v>1</v>
      </c>
      <c r="P9" s="49" t="str">
        <f>IF(O9=TRUE,"Grava","")</f>
        <v>Grava</v>
      </c>
      <c r="Q9" s="49"/>
      <c r="R9" s="49"/>
      <c r="S9" s="49"/>
      <c r="T9" s="49"/>
      <c r="U9" s="58" t="str">
        <f>IF(OR(X32&gt;0,X33&gt;0)," con bloques","")</f>
        <v/>
      </c>
      <c r="V9" s="49"/>
      <c r="W9" s="179" t="str">
        <f t="shared" si="1"/>
        <v/>
      </c>
      <c r="X9" s="204" t="str">
        <f t="shared" si="2"/>
        <v/>
      </c>
      <c r="Y9" s="206" t="str">
        <f t="shared" si="3"/>
        <v/>
      </c>
    </row>
    <row r="10" spans="2:25">
      <c r="B10" s="221">
        <v>20</v>
      </c>
      <c r="C10" s="255">
        <v>39.700000000000003</v>
      </c>
      <c r="D10" s="225">
        <f t="shared" si="0"/>
        <v>39.700000000000003</v>
      </c>
      <c r="M10" s="151"/>
      <c r="N10" s="49"/>
      <c r="O10" s="49"/>
      <c r="P10" s="49"/>
      <c r="Q10" s="49" t="b">
        <f>AND(D19&lt;5,X27&gt;=4,X28&gt;=1,X28&lt;=3)</f>
        <v>0</v>
      </c>
      <c r="R10" s="49" t="b">
        <f>AND(P9="Grava",Q10=TRUE)</f>
        <v>0</v>
      </c>
      <c r="S10" s="49" t="str">
        <f>IF(R10=TRUE," bien graduada","")</f>
        <v/>
      </c>
      <c r="T10" s="49" t="str">
        <f>IF(S10=" bien graduada"," GW","")</f>
        <v/>
      </c>
      <c r="U10" s="58"/>
      <c r="V10" s="49"/>
      <c r="W10" s="179" t="str">
        <f t="shared" si="1"/>
        <v/>
      </c>
      <c r="X10" s="204">
        <f t="shared" si="2"/>
        <v>12.5</v>
      </c>
      <c r="Y10" s="206" t="str">
        <f t="shared" si="3"/>
        <v/>
      </c>
    </row>
    <row r="11" spans="2:25">
      <c r="B11" s="221">
        <v>12.5</v>
      </c>
      <c r="C11" s="255">
        <v>30</v>
      </c>
      <c r="D11" s="225">
        <f t="shared" si="0"/>
        <v>30</v>
      </c>
      <c r="M11" s="151"/>
      <c r="N11" s="49"/>
      <c r="O11" s="49"/>
      <c r="P11" s="49"/>
      <c r="Q11" s="49" t="b">
        <f>AND(D19&lt;5,OR(X27&lt;4,X28&lt;1,X28&gt;3))</f>
        <v>0</v>
      </c>
      <c r="R11" s="49" t="b">
        <f>AND(P9="Grava",Q11=TRUE)</f>
        <v>0</v>
      </c>
      <c r="S11" s="49" t="str">
        <f>IF(R11=TRUE," mal graduada","")</f>
        <v/>
      </c>
      <c r="T11" s="49" t="str">
        <f>IF(S11=" mal graduada"," GP","")</f>
        <v/>
      </c>
      <c r="U11" s="58"/>
      <c r="V11" s="49"/>
      <c r="W11" s="179" t="str">
        <f t="shared" si="1"/>
        <v/>
      </c>
      <c r="X11" s="204">
        <f t="shared" si="2"/>
        <v>12.5</v>
      </c>
      <c r="Y11" s="206" t="str">
        <f t="shared" si="3"/>
        <v/>
      </c>
    </row>
    <row r="12" spans="2:25">
      <c r="B12" s="221">
        <v>10</v>
      </c>
      <c r="C12" s="255">
        <v>27.2</v>
      </c>
      <c r="D12" s="225">
        <f t="shared" si="0"/>
        <v>27.2</v>
      </c>
      <c r="M12" s="151"/>
      <c r="N12" s="49"/>
      <c r="O12" s="49"/>
      <c r="P12" s="49"/>
      <c r="Q12" s="49" t="b">
        <f>AND(D19&gt;12,OR(AND(C21&lt;=30,C23&gt;7),AND(C21&gt;30,C23&gt;(0.73*(C21-20)))))</f>
        <v>0</v>
      </c>
      <c r="R12" s="49" t="b">
        <f>AND(P9="Grava",Q12=TRUE)</f>
        <v>0</v>
      </c>
      <c r="S12" s="49" t="str">
        <f>IF(R12=TRUE," arcillosa","")</f>
        <v/>
      </c>
      <c r="T12" s="49" t="str">
        <f>IF(S12=" arcillosa"," GC","")</f>
        <v/>
      </c>
      <c r="U12" s="58"/>
      <c r="V12" s="49"/>
      <c r="W12" s="179" t="str">
        <f t="shared" si="1"/>
        <v/>
      </c>
      <c r="X12" s="204" t="str">
        <f t="shared" si="2"/>
        <v/>
      </c>
      <c r="Y12" s="206" t="str">
        <f t="shared" si="3"/>
        <v/>
      </c>
    </row>
    <row r="13" spans="2:25">
      <c r="B13" s="221">
        <v>6.3</v>
      </c>
      <c r="C13" s="255">
        <v>24.4</v>
      </c>
      <c r="D13" s="225">
        <f t="shared" si="0"/>
        <v>24.4</v>
      </c>
      <c r="M13" s="151"/>
      <c r="N13" s="49"/>
      <c r="O13" s="49"/>
      <c r="P13" s="49"/>
      <c r="Q13" s="49" t="b">
        <f>AND(D19&gt;12,OR(C23&lt;4,C23&lt;(0.73*(C21-20))))</f>
        <v>0</v>
      </c>
      <c r="R13" s="49" t="b">
        <f>AND(P9="Grava",Q13=TRUE)</f>
        <v>0</v>
      </c>
      <c r="S13" s="49" t="str">
        <f>IF(R13=TRUE," limosa","")</f>
        <v/>
      </c>
      <c r="T13" s="49" t="str">
        <f>IF(S13=" limosa"," GM","")</f>
        <v/>
      </c>
      <c r="U13" s="58"/>
      <c r="V13" s="49"/>
      <c r="W13" s="179" t="str">
        <f t="shared" si="1"/>
        <v/>
      </c>
      <c r="X13" s="204" t="str">
        <f t="shared" si="2"/>
        <v/>
      </c>
      <c r="Y13" s="206" t="str">
        <f t="shared" si="3"/>
        <v/>
      </c>
    </row>
    <row r="14" spans="2:25">
      <c r="B14" s="221">
        <v>5</v>
      </c>
      <c r="C14" s="255">
        <v>21.6</v>
      </c>
      <c r="D14" s="225">
        <f t="shared" si="0"/>
        <v>21.6</v>
      </c>
      <c r="M14" s="151"/>
      <c r="N14" s="49"/>
      <c r="O14" s="49"/>
      <c r="P14" s="49"/>
      <c r="Q14" s="49" t="b">
        <f>AND(D19&gt;12,C23&gt;(0.73*(C21-20)),C23&gt;=4,C23&lt;=7)</f>
        <v>0</v>
      </c>
      <c r="R14" s="49" t="b">
        <f>AND(P9="Grava",Q14=TRUE)</f>
        <v>0</v>
      </c>
      <c r="S14" s="49" t="str">
        <f>IF(R14=TRUE," arcilloso-limosa","")</f>
        <v/>
      </c>
      <c r="T14" s="49" t="str">
        <f>IF(S14=" arcilloso-limosa"," GC-GM","")</f>
        <v/>
      </c>
      <c r="U14" s="58"/>
      <c r="V14" s="49"/>
      <c r="W14" s="179" t="str">
        <f t="shared" si="1"/>
        <v/>
      </c>
      <c r="X14" s="204" t="str">
        <f t="shared" si="2"/>
        <v/>
      </c>
      <c r="Y14" s="206" t="str">
        <f t="shared" si="3"/>
        <v/>
      </c>
    </row>
    <row r="15" spans="2:25">
      <c r="B15" s="221">
        <v>2</v>
      </c>
      <c r="C15" s="255">
        <v>18.399999999999999</v>
      </c>
      <c r="D15" s="225">
        <f t="shared" si="0"/>
        <v>18.399999999999999</v>
      </c>
      <c r="F15" s="74"/>
      <c r="M15" s="151"/>
      <c r="N15" s="49"/>
      <c r="O15" s="49"/>
      <c r="P15" s="49"/>
      <c r="Q15" s="49" t="b">
        <f>AND(D19&gt;=5,D19&lt;=12,X27&gt;=4,X28&gt;=1,X28&lt;=3)</f>
        <v>0</v>
      </c>
      <c r="R15" s="49" t="b">
        <f>AND(P9="Grava",Q15=TRUE)</f>
        <v>0</v>
      </c>
      <c r="S15" s="49" t="str">
        <f>IF(R15=TRUE," bien graduada","")</f>
        <v/>
      </c>
      <c r="T15" s="49" t="str">
        <f>IF(S15=" bien graduada"," GW","")</f>
        <v/>
      </c>
      <c r="U15" s="58"/>
      <c r="V15" s="49"/>
      <c r="W15" s="179" t="str">
        <f t="shared" si="1"/>
        <v/>
      </c>
      <c r="X15" s="204" t="str">
        <f t="shared" si="2"/>
        <v/>
      </c>
      <c r="Y15" s="206" t="str">
        <f t="shared" si="3"/>
        <v/>
      </c>
    </row>
    <row r="16" spans="2:25" ht="13.5" thickBot="1">
      <c r="B16" s="221">
        <v>1.25</v>
      </c>
      <c r="C16" s="255">
        <v>16.899999999999999</v>
      </c>
      <c r="D16" s="225">
        <f t="shared" si="0"/>
        <v>16.899999999999999</v>
      </c>
      <c r="M16" s="151"/>
      <c r="N16" s="49"/>
      <c r="O16" s="49"/>
      <c r="P16" s="49"/>
      <c r="Q16" s="49" t="b">
        <f>AND(D19&gt;=5,D19&lt;=12,OR(X27&lt;4,X28&lt;1,X28&gt;3))</f>
        <v>1</v>
      </c>
      <c r="R16" s="49" t="b">
        <f>AND(P9="Grava",Q16=TRUE)</f>
        <v>1</v>
      </c>
      <c r="S16" s="49" t="str">
        <f>IF(R16=TRUE," mal graduada","")</f>
        <v xml:space="preserve"> mal graduada</v>
      </c>
      <c r="T16" s="49" t="str">
        <f>IF(S16=" mal graduada"," GP","")</f>
        <v xml:space="preserve"> GP</v>
      </c>
      <c r="U16" s="58"/>
      <c r="V16" s="49"/>
      <c r="W16" s="179" t="str">
        <f t="shared" si="1"/>
        <v/>
      </c>
      <c r="X16" s="204" t="str">
        <f t="shared" si="2"/>
        <v/>
      </c>
      <c r="Y16" s="206" t="str">
        <f t="shared" si="3"/>
        <v/>
      </c>
    </row>
    <row r="17" spans="2:25" ht="13.5" thickBot="1">
      <c r="B17" s="221">
        <v>0.4</v>
      </c>
      <c r="C17" s="255">
        <v>12.2</v>
      </c>
      <c r="D17" s="225">
        <f t="shared" si="0"/>
        <v>12.2</v>
      </c>
      <c r="F17" s="361" t="s">
        <v>131</v>
      </c>
      <c r="G17" s="362"/>
      <c r="H17" s="362"/>
      <c r="I17" s="362"/>
      <c r="J17" s="362"/>
      <c r="K17" s="363"/>
      <c r="M17" s="151"/>
      <c r="N17" s="49"/>
      <c r="O17" s="49"/>
      <c r="P17" s="49"/>
      <c r="Q17" s="49" t="b">
        <f>AND(D19&gt;=5,D19&lt;=12,OR(AND(C21&lt;=30,C23&gt;7),AND(C21&gt;30,C23&gt;(0.73*(C21-20)))))</f>
        <v>0</v>
      </c>
      <c r="R17" s="49" t="b">
        <f>AND(P9="Grava",Q17=TRUE)</f>
        <v>0</v>
      </c>
      <c r="S17" s="49" t="str">
        <f>IF(R17=TRUE," con arcilla","")</f>
        <v/>
      </c>
      <c r="T17" s="49" t="str">
        <f>IF(S17=" con arcilla"," GC","")</f>
        <v/>
      </c>
      <c r="U17" s="58"/>
      <c r="V17" s="49"/>
      <c r="W17" s="179" t="str">
        <f t="shared" si="1"/>
        <v/>
      </c>
      <c r="X17" s="204" t="str">
        <f t="shared" si="2"/>
        <v/>
      </c>
      <c r="Y17" s="206">
        <f t="shared" si="3"/>
        <v>0.27121951219512208</v>
      </c>
    </row>
    <row r="18" spans="2:25">
      <c r="B18" s="222">
        <v>0.16</v>
      </c>
      <c r="C18" s="255">
        <v>8.1</v>
      </c>
      <c r="D18" s="225">
        <f t="shared" si="0"/>
        <v>8.1</v>
      </c>
      <c r="F18" s="364" t="str">
        <f>IF(AND(C4="",C5="",C6="",C7="",C8="",C9="",C10="",C11="",C12="",C13="",C14="",C15="",C16="",C17="",C18="",C19=""),"",M42)</f>
        <v>Suelo de partículas gruesas.( Nomenclatura con símbolo doble).</v>
      </c>
      <c r="G18" s="365"/>
      <c r="H18" s="365"/>
      <c r="I18" s="365"/>
      <c r="J18" s="365"/>
      <c r="K18" s="366"/>
      <c r="M18" s="151"/>
      <c r="N18" s="49"/>
      <c r="O18" s="49"/>
      <c r="P18" s="49"/>
      <c r="Q18" s="49" t="b">
        <f>AND(D19&gt;=5,D19&lt;=12,OR(C23&lt;4,C23&lt;(0.73*(C21-20))))</f>
        <v>1</v>
      </c>
      <c r="R18" s="49" t="b">
        <f>AND(P9="Grava",Q18=TRUE)</f>
        <v>1</v>
      </c>
      <c r="S18" s="49" t="str">
        <f>IF(R18=TRUE," con limo","")</f>
        <v xml:space="preserve"> con limo</v>
      </c>
      <c r="T18" s="49" t="str">
        <f>IF(S18=" con limo"," GM","")</f>
        <v xml:space="preserve"> GM</v>
      </c>
      <c r="U18" s="58"/>
      <c r="V18" s="49"/>
      <c r="W18" s="182" t="str">
        <f t="shared" si="1"/>
        <v/>
      </c>
      <c r="X18" s="205" t="str">
        <f t="shared" si="2"/>
        <v/>
      </c>
      <c r="Y18" s="246" t="str">
        <f t="shared" si="3"/>
        <v/>
      </c>
    </row>
    <row r="19" spans="2:25" ht="13.5" thickBot="1">
      <c r="B19" s="223">
        <v>0.08</v>
      </c>
      <c r="C19" s="257">
        <v>6.3</v>
      </c>
      <c r="D19" s="226">
        <f t="shared" si="0"/>
        <v>6.3</v>
      </c>
      <c r="F19" s="367" t="str">
        <f>IF(AND(C4="",C5="",C6="",C7="",C8="",C9="",C10="",C11="",C12="",C13="",C14="",C15="",C16="",C17="",C18="",C19=""),"",Q43)</f>
        <v>Grava mal graduada con limo con arena GP GM</v>
      </c>
      <c r="G19" s="368"/>
      <c r="H19" s="368"/>
      <c r="I19" s="368"/>
      <c r="J19" s="368"/>
      <c r="K19" s="369"/>
      <c r="M19" s="151"/>
      <c r="N19" s="49"/>
      <c r="O19" s="49"/>
      <c r="P19" s="49"/>
      <c r="Q19" s="49" t="b">
        <f>AND(D19&gt;=5,D19&lt;=12,C23&gt;(0.73*(C21-20)),C23&gt;=4,C23&lt;=7)</f>
        <v>0</v>
      </c>
      <c r="R19" s="49" t="b">
        <f>AND(P9="Grava",Q19=TRUE)</f>
        <v>0</v>
      </c>
      <c r="S19" s="49" t="str">
        <f>IF(R19=TRUE," con arcilla y limo","")</f>
        <v/>
      </c>
      <c r="T19" s="49" t="str">
        <f>IF(S19=" con arcilla y limo"," GC","")</f>
        <v/>
      </c>
      <c r="U19" s="58"/>
      <c r="V19" s="49"/>
      <c r="W19" s="188">
        <f>AVERAGE(W4:W18)</f>
        <v>42.70142180094787</v>
      </c>
      <c r="X19" s="244">
        <f>AVERAGE(X4:X18)</f>
        <v>12.5</v>
      </c>
      <c r="Y19" s="247">
        <f>AVERAGE(Y4:Y18)</f>
        <v>0.27121951219512208</v>
      </c>
    </row>
    <row r="20" spans="2:25" ht="13.5" thickBot="1">
      <c r="C20" s="9"/>
      <c r="F20" s="74"/>
      <c r="M20" s="151"/>
      <c r="N20" s="49"/>
      <c r="O20" s="49"/>
      <c r="P20" s="49"/>
      <c r="Q20" s="49"/>
      <c r="R20" s="49" t="b">
        <f>AND(P9="Grava",(X43+X44+X45+X46+X47)&gt;15)</f>
        <v>1</v>
      </c>
      <c r="S20" s="49" t="str">
        <f>IF(R20=TRUE," con arena","")</f>
        <v xml:space="preserve"> con arena</v>
      </c>
      <c r="T20" s="49"/>
      <c r="U20" s="58"/>
      <c r="V20" s="49"/>
      <c r="W20" s="159" t="b">
        <f>ISNUMBER(W19)</f>
        <v>1</v>
      </c>
      <c r="X20" s="197" t="b">
        <f>ISNUMBER(X19)</f>
        <v>1</v>
      </c>
      <c r="Y20" s="161" t="b">
        <f>ISNUMBER(Y19)</f>
        <v>1</v>
      </c>
    </row>
    <row r="21" spans="2:25" ht="12.75" customHeight="1">
      <c r="B21" s="227" t="s">
        <v>197</v>
      </c>
      <c r="C21" s="259">
        <v>0</v>
      </c>
      <c r="D21" s="237" t="s">
        <v>2</v>
      </c>
      <c r="F21" s="370" t="str">
        <f>IF(AND(C4="",C5="",C6="",C7="",C8="",C9="",C10="",C11="",C12="",C13="",C14="",C15="",C16="",C17="",C18="",C19=""),"",F19)</f>
        <v>Grava mal graduada con limo con arena GP GM</v>
      </c>
      <c r="G21" s="371"/>
      <c r="H21" s="371"/>
      <c r="I21" s="371"/>
      <c r="J21" s="371"/>
      <c r="K21" s="372"/>
      <c r="M21" s="151" t="str">
        <f>IF(X23&lt;50,"SI","No")</f>
        <v>SI</v>
      </c>
      <c r="N21" s="49" t="str">
        <f>IF(W42&lt;W47/2,"SI","No")</f>
        <v>No</v>
      </c>
      <c r="O21" s="49" t="b">
        <f>AND(M21="SI",N21="SI")</f>
        <v>0</v>
      </c>
      <c r="P21" s="49" t="str">
        <f>IF(O21=TRUE,"Arena","")</f>
        <v/>
      </c>
      <c r="Q21" s="49"/>
      <c r="R21" s="49"/>
      <c r="S21" s="49"/>
      <c r="T21" s="49"/>
      <c r="U21" s="58"/>
      <c r="V21" s="49"/>
      <c r="W21" s="74"/>
      <c r="X21" s="74"/>
      <c r="Y21" s="74"/>
    </row>
    <row r="22" spans="2:25" ht="12.75" customHeight="1">
      <c r="B22" s="228" t="s">
        <v>198</v>
      </c>
      <c r="C22" s="255">
        <v>0</v>
      </c>
      <c r="D22" s="239" t="s">
        <v>2</v>
      </c>
      <c r="F22" s="373"/>
      <c r="G22" s="374"/>
      <c r="H22" s="374"/>
      <c r="I22" s="374"/>
      <c r="J22" s="374"/>
      <c r="K22" s="375"/>
      <c r="M22" s="151"/>
      <c r="N22" s="49"/>
      <c r="O22" s="49"/>
      <c r="P22" s="49"/>
      <c r="Q22" s="49" t="b">
        <f>AND(D19&lt;5,X27&gt;=6,X28&gt;=1,X28&lt;=3)</f>
        <v>0</v>
      </c>
      <c r="R22" s="49" t="b">
        <f>AND(P21="Arena",Q22=TRUE)</f>
        <v>0</v>
      </c>
      <c r="S22" s="49" t="str">
        <f>IF(AND(R22=TRUE,D19&lt;=12,D19&lt;50)," bien graduada","")</f>
        <v/>
      </c>
      <c r="T22" s="49" t="str">
        <f>IF(S22=" bien graduada"," SW","")</f>
        <v/>
      </c>
      <c r="U22" s="58"/>
      <c r="V22" s="49"/>
      <c r="W22" s="90" t="s">
        <v>118</v>
      </c>
      <c r="X22" s="198">
        <f>D14</f>
        <v>21.6</v>
      </c>
      <c r="Y22" s="148" t="s">
        <v>2</v>
      </c>
    </row>
    <row r="23" spans="2:25" ht="13.5" customHeight="1" thickBot="1">
      <c r="B23" s="229" t="s">
        <v>199</v>
      </c>
      <c r="C23" s="238">
        <f>C21-C22</f>
        <v>0</v>
      </c>
      <c r="D23" s="240" t="s">
        <v>2</v>
      </c>
      <c r="F23" s="376"/>
      <c r="G23" s="377"/>
      <c r="H23" s="377"/>
      <c r="I23" s="377"/>
      <c r="J23" s="377"/>
      <c r="K23" s="378"/>
      <c r="M23" s="151"/>
      <c r="N23" s="49"/>
      <c r="O23" s="49"/>
      <c r="P23" s="49"/>
      <c r="Q23" s="49" t="b">
        <f>AND(D19&lt;5,OR(X27&lt;6,X28&lt;1,X28&gt;3))</f>
        <v>0</v>
      </c>
      <c r="R23" s="49" t="b">
        <f>AND(P21="Arena",Q23=TRUE)</f>
        <v>0</v>
      </c>
      <c r="S23" s="49" t="str">
        <f>IF(AND(R23=TRUE,D19&lt;=12,D19&lt;50)," mal graduada","")</f>
        <v/>
      </c>
      <c r="T23" s="49" t="str">
        <f>IF(S23=" mal graduada"," SP","")</f>
        <v/>
      </c>
      <c r="U23" s="58"/>
      <c r="V23" s="49"/>
      <c r="W23" s="151" t="s">
        <v>133</v>
      </c>
      <c r="X23" s="71">
        <f>D19</f>
        <v>6.3</v>
      </c>
      <c r="Y23" s="58" t="s">
        <v>2</v>
      </c>
    </row>
    <row r="24" spans="2:25" ht="13.5" customHeight="1">
      <c r="F24" s="202"/>
      <c r="G24" s="202"/>
      <c r="H24" s="202"/>
      <c r="I24" s="202"/>
      <c r="J24" s="202"/>
      <c r="K24" s="202"/>
      <c r="M24" s="151"/>
      <c r="N24" s="49"/>
      <c r="O24" s="49"/>
      <c r="P24" s="49"/>
      <c r="Q24" s="49" t="b">
        <f>AND(D19&gt;12,OR(AND(C21&lt;=30,C23&gt;7),AND(C21&gt;30,C23&gt;(0.73*(C21-20)))))</f>
        <v>0</v>
      </c>
      <c r="R24" s="49" t="b">
        <f>AND(P21="Arena",Q24=TRUE)</f>
        <v>0</v>
      </c>
      <c r="S24" s="49" t="str">
        <f>IF(AND(R24=TRUE,D19&gt;12,D19&lt;50)," arcillosa","")</f>
        <v/>
      </c>
      <c r="T24" s="49" t="str">
        <f>IF(S24=" arcillosa"," SC","")</f>
        <v/>
      </c>
      <c r="U24" s="58"/>
      <c r="V24" s="49"/>
      <c r="W24" s="151" t="s">
        <v>193</v>
      </c>
      <c r="X24" s="71">
        <f>IF(W20=TRUE,W19,"")</f>
        <v>42.70142180094787</v>
      </c>
      <c r="Y24" s="58" t="s">
        <v>119</v>
      </c>
    </row>
    <row r="25" spans="2:25">
      <c r="M25" s="151"/>
      <c r="N25" s="49"/>
      <c r="O25" s="49"/>
      <c r="P25" s="49"/>
      <c r="Q25" s="49" t="b">
        <f>AND(D19&gt;12,OR(C23&lt;4,C23&lt;(0.73*(C21-20))))</f>
        <v>0</v>
      </c>
      <c r="R25" s="49" t="b">
        <f>AND(P21="Arena",Q25=TRUE)</f>
        <v>0</v>
      </c>
      <c r="S25" s="49" t="str">
        <f>IF(AND(R25=TRUE,D19&gt;12,D19&lt;50)," limosa","")</f>
        <v/>
      </c>
      <c r="T25" s="49" t="str">
        <f>IF(S25=" limosa"," SM","")</f>
        <v/>
      </c>
      <c r="U25" s="58"/>
      <c r="V25" s="49"/>
      <c r="W25" s="151" t="s">
        <v>194</v>
      </c>
      <c r="X25" s="71">
        <f>IF(X20=TRUE,X19,"")</f>
        <v>12.5</v>
      </c>
      <c r="Y25" s="58" t="s">
        <v>119</v>
      </c>
    </row>
    <row r="26" spans="2:25">
      <c r="M26" s="151"/>
      <c r="N26" s="49"/>
      <c r="O26" s="49"/>
      <c r="P26" s="49"/>
      <c r="Q26" s="49" t="b">
        <f>AND(D19&gt;12,C23&gt;(0.73*(C21-20)),C23&gt;=4,C23&lt;=7)</f>
        <v>0</v>
      </c>
      <c r="R26" s="49" t="b">
        <f>AND(P21="Arena",Q26=TRUE)</f>
        <v>0</v>
      </c>
      <c r="S26" s="49" t="str">
        <f>IF(AND(R26=TRUE,D19&gt;12,D19&lt;50)," arcilloso-limosa","")</f>
        <v/>
      </c>
      <c r="T26" s="49" t="str">
        <f>IF(S26=" arcilloso-limosa"," SC-SM","")</f>
        <v/>
      </c>
      <c r="U26" s="58"/>
      <c r="V26" s="49"/>
      <c r="W26" s="95" t="s">
        <v>195</v>
      </c>
      <c r="X26" s="199">
        <f>IF(Y20=TRUE,Y19,"")</f>
        <v>0.27121951219512208</v>
      </c>
      <c r="Y26" s="149" t="s">
        <v>119</v>
      </c>
    </row>
    <row r="27" spans="2:25">
      <c r="M27" s="151"/>
      <c r="N27" s="49"/>
      <c r="O27" s="49"/>
      <c r="P27" s="49"/>
      <c r="Q27" s="49" t="b">
        <f>AND(D19&gt;=5,D19&lt;=12,X27&gt;=4,X28&gt;=1,X28&lt;=3)</f>
        <v>0</v>
      </c>
      <c r="R27" s="49" t="b">
        <f>AND(P21="Arena",Q27=TRUE)</f>
        <v>0</v>
      </c>
      <c r="S27" s="49" t="str">
        <f>IF(R27=TRUE," bien graduada","")</f>
        <v/>
      </c>
      <c r="T27" s="49" t="str">
        <f>IF(S27=" bien graduada"," SW","")</f>
        <v/>
      </c>
      <c r="U27" s="58"/>
      <c r="V27" s="49"/>
      <c r="W27" s="151" t="s">
        <v>120</v>
      </c>
      <c r="X27" s="71">
        <f>IF(OR(X24="",X25="",X26=""),"",X24/X26)</f>
        <v>157.44229261140845</v>
      </c>
      <c r="Y27" s="58"/>
    </row>
    <row r="28" spans="2:25">
      <c r="M28" s="151"/>
      <c r="N28" s="49"/>
      <c r="O28" s="49"/>
      <c r="P28" s="49"/>
      <c r="Q28" s="49" t="b">
        <f>AND(D19&gt;=5,D19&lt;=12,OR(X27&lt;4,X28&lt;1,X28&gt;3))</f>
        <v>1</v>
      </c>
      <c r="R28" s="49" t="b">
        <f>AND(P21="Arena",Q28=TRUE)</f>
        <v>0</v>
      </c>
      <c r="S28" s="49" t="str">
        <f>IF(R28=TRUE," mal graduada","")</f>
        <v/>
      </c>
      <c r="T28" s="49" t="str">
        <f>IF(S28=" mal graduada"," SP","")</f>
        <v/>
      </c>
      <c r="U28" s="58"/>
      <c r="V28" s="49"/>
      <c r="W28" s="95" t="s">
        <v>121</v>
      </c>
      <c r="X28" s="199">
        <f>IF(OR(X24="",X25="",X26=""),"",(X25*X25)/(X26*X24))</f>
        <v>13.491391958575196</v>
      </c>
      <c r="Y28" s="149"/>
    </row>
    <row r="29" spans="2:25">
      <c r="M29" s="151"/>
      <c r="N29" s="49"/>
      <c r="O29" s="49"/>
      <c r="P29" s="49"/>
      <c r="Q29" s="49" t="b">
        <f>AND(D19&gt;=5,D19&lt;=12,OR(AND(C21&lt;=30,C23&gt;7),AND(C21&gt;30,C23&gt;(0.73*(C21-20)))))</f>
        <v>0</v>
      </c>
      <c r="R29" s="49" t="b">
        <f>AND(P21="Arena",Q29=TRUE)</f>
        <v>0</v>
      </c>
      <c r="S29" s="49" t="str">
        <f>IF(R29=TRUE," con arcilla","")</f>
        <v/>
      </c>
      <c r="T29" s="49" t="str">
        <f>IF(S29=" con arcilla"," SC","")</f>
        <v/>
      </c>
      <c r="U29" s="58"/>
      <c r="V29" s="49"/>
    </row>
    <row r="30" spans="2:25" ht="12.75" customHeight="1">
      <c r="M30" s="151"/>
      <c r="N30" s="49"/>
      <c r="O30" s="49"/>
      <c r="P30" s="49"/>
      <c r="Q30" s="49" t="b">
        <f>AND(D19&gt;=5,D19&lt;=12,OR(C23&lt;4,C23&lt;(0.73*(C21-20))))</f>
        <v>1</v>
      </c>
      <c r="R30" s="49" t="b">
        <f>AND(P21="Arena",Q30=TRUE)</f>
        <v>0</v>
      </c>
      <c r="S30" s="49" t="str">
        <f>IF(R30=TRUE," con limo","")</f>
        <v/>
      </c>
      <c r="T30" s="49" t="str">
        <f>IF(S30=" con limo"," SM","")</f>
        <v/>
      </c>
      <c r="U30" s="58"/>
      <c r="V30" s="49"/>
      <c r="W30" s="200" t="s">
        <v>185</v>
      </c>
      <c r="X30" s="209" t="s">
        <v>185</v>
      </c>
    </row>
    <row r="31" spans="2:25" ht="13.5" customHeight="1">
      <c r="M31" s="151"/>
      <c r="N31" s="49"/>
      <c r="O31" s="49"/>
      <c r="P31" s="49"/>
      <c r="Q31" s="49" t="b">
        <f>AND(D19&gt;=5,D19&lt;=12,C23&gt;(0.73*(C21-20)),C23&gt;=4,C23&lt;=7)</f>
        <v>0</v>
      </c>
      <c r="R31" s="49" t="b">
        <f>AND(P21="Arena",Q31=TRUE)</f>
        <v>0</v>
      </c>
      <c r="S31" s="49" t="str">
        <f>IF(R31=TRUE," con arcilla y limo","")</f>
        <v/>
      </c>
      <c r="T31" s="49" t="str">
        <f>IF(S31=" con arcilla y limo"," SC","")</f>
        <v/>
      </c>
      <c r="U31" s="58"/>
      <c r="V31" s="49"/>
      <c r="W31" s="201" t="s">
        <v>184</v>
      </c>
      <c r="X31" s="210" t="s">
        <v>186</v>
      </c>
    </row>
    <row r="32" spans="2:25" ht="13.5" customHeight="1">
      <c r="M32" s="151"/>
      <c r="N32" s="49"/>
      <c r="O32" s="49"/>
      <c r="P32" s="49"/>
      <c r="Q32" s="49"/>
      <c r="R32" s="49" t="b">
        <f>AND(P21="Arena",(X32+X33+X34+X35+X36+X37+X38+X39+X40+X41+X42)&gt;15)</f>
        <v>0</v>
      </c>
      <c r="S32" s="49" t="str">
        <f>IF(R32=TRUE," con grava","")</f>
        <v/>
      </c>
      <c r="T32" s="49"/>
      <c r="U32" s="58"/>
      <c r="V32" s="49"/>
      <c r="W32" s="207">
        <f t="shared" ref="W32:W47" si="4">100-D4</f>
        <v>0</v>
      </c>
      <c r="X32" s="211">
        <f>100-D4</f>
        <v>0</v>
      </c>
    </row>
    <row r="33" spans="13:24" ht="12.75" customHeight="1">
      <c r="M33" s="151"/>
      <c r="N33" s="49"/>
      <c r="O33" s="49"/>
      <c r="P33" s="49"/>
      <c r="Q33" s="49"/>
      <c r="R33" s="49"/>
      <c r="S33" s="49"/>
      <c r="T33" s="49"/>
      <c r="U33" s="58"/>
      <c r="V33" s="49"/>
      <c r="W33" s="207">
        <f t="shared" si="4"/>
        <v>0</v>
      </c>
      <c r="X33" s="211">
        <f t="shared" ref="X33:X47" si="5">D4-D5</f>
        <v>0</v>
      </c>
    </row>
    <row r="34" spans="13:24" ht="12.75" customHeight="1">
      <c r="M34" s="151"/>
      <c r="N34" s="49"/>
      <c r="O34" s="49"/>
      <c r="P34" s="152" t="str">
        <f>IF(D19&gt;=50,"Suelo de partículas finas.","")</f>
        <v/>
      </c>
      <c r="Q34" s="49"/>
      <c r="R34" s="49"/>
      <c r="S34" s="49"/>
      <c r="T34" s="49"/>
      <c r="U34" s="58"/>
      <c r="V34" s="49"/>
      <c r="W34" s="207">
        <f t="shared" si="4"/>
        <v>14.599999999999994</v>
      </c>
      <c r="X34" s="211">
        <f t="shared" si="5"/>
        <v>14.599999999999994</v>
      </c>
    </row>
    <row r="35" spans="13:24" ht="13.5" customHeight="1">
      <c r="M35" s="151" t="str">
        <f>IF(X23&gt;=50,"SI","No")</f>
        <v>No</v>
      </c>
      <c r="N35" s="49"/>
      <c r="O35" s="49"/>
      <c r="P35" s="49"/>
      <c r="Q35" s="49" t="b">
        <f>AND(C23&gt;(0.73*(C21-20)),C23&gt;7,C21&lt;30)</f>
        <v>0</v>
      </c>
      <c r="R35" s="49" t="b">
        <f>AND(M35="SI",Q35=TRUE)</f>
        <v>0</v>
      </c>
      <c r="S35" s="49" t="str">
        <f>IF(R35=TRUE,"Arcilla baja plasticidad","")</f>
        <v/>
      </c>
      <c r="T35" s="49" t="str">
        <f>IF(S35="Arcilla baja plasticidad"," CL","")</f>
        <v/>
      </c>
      <c r="U35" s="58" t="str">
        <f>IF(AND(D19&gt;=50,W47&lt;30,W47&gt;15,(X32+X33+X34+X35+X36+X37+X38+X39+X40+X41+X42)&lt;=(X43+X44+X45+X46+X47))," con arena","")</f>
        <v/>
      </c>
      <c r="V35" s="49"/>
      <c r="W35" s="207">
        <f t="shared" si="4"/>
        <v>24.599999999999994</v>
      </c>
      <c r="X35" s="211">
        <f t="shared" si="5"/>
        <v>10</v>
      </c>
    </row>
    <row r="36" spans="13:24" ht="13.5" customHeight="1">
      <c r="M36" s="151"/>
      <c r="N36" s="49"/>
      <c r="O36" s="49"/>
      <c r="P36" s="49"/>
      <c r="Q36" s="49" t="b">
        <f>AND(C23&gt;(0.73*(C21-20)),C23&gt;4,C21&gt;=50)</f>
        <v>0</v>
      </c>
      <c r="R36" s="49" t="b">
        <f>AND(M35="SI",Q36=TRUE)</f>
        <v>0</v>
      </c>
      <c r="S36" s="49" t="str">
        <f>IF(R36=TRUE,"Arcilla alta plasticidad","")</f>
        <v/>
      </c>
      <c r="T36" s="49" t="str">
        <f>IF(S36="Arcilla alta plasticidad"," CH","")</f>
        <v/>
      </c>
      <c r="U36" s="58" t="str">
        <f>IF(AND(D19&gt;=50,W47&lt;30,W47&gt;15,(X32+X33+X34+X35+X36+X37+X38+X39+X40+X41+X42)&gt;(X43+X44+X45+X46+X47))," con grava","")</f>
        <v/>
      </c>
      <c r="V36" s="49"/>
      <c r="W36" s="207">
        <f t="shared" si="4"/>
        <v>45.7</v>
      </c>
      <c r="X36" s="211">
        <f t="shared" si="5"/>
        <v>21.100000000000009</v>
      </c>
    </row>
    <row r="37" spans="13:24">
      <c r="M37" s="151"/>
      <c r="N37" s="49"/>
      <c r="O37" s="49"/>
      <c r="P37" s="49"/>
      <c r="Q37" s="49" t="b">
        <f>AND(C23&gt;=(0.73*(C21-20)),C23&gt;=4,C23&lt;=7)</f>
        <v>0</v>
      </c>
      <c r="R37" s="49" t="b">
        <f>AND(M35="SI",Q37=TRUE)</f>
        <v>0</v>
      </c>
      <c r="S37" s="49" t="str">
        <f>IF(R37=TRUE,"Arcilla limosa","")</f>
        <v/>
      </c>
      <c r="T37" s="49" t="str">
        <f>IF(S37="Arcilla limosa"," CL-ML","")</f>
        <v/>
      </c>
      <c r="U37" s="58" t="str">
        <f>IF(AND(D19&gt;=50,W47&gt;=30,(X32+X33+X34+X35+X36+X37+X38+X39+X40+X41+X42)&lt;=(X43+X44+X45+X46+X47),OR(S35="Arcilla baja plasticidad",S36="Arcilla alta plasticidad",S37="Arcilla limosa",S40="Arcilla media plasticidad"))," arenosa","")</f>
        <v/>
      </c>
      <c r="V37" s="49"/>
      <c r="W37" s="207">
        <f t="shared" si="4"/>
        <v>55.8</v>
      </c>
      <c r="X37" s="211">
        <f t="shared" si="5"/>
        <v>10.099999999999994</v>
      </c>
    </row>
    <row r="38" spans="13:24">
      <c r="M38" s="151"/>
      <c r="N38" s="49"/>
      <c r="O38" s="49"/>
      <c r="P38" s="49"/>
      <c r="Q38" s="49" t="b">
        <f>AND(OR(C23&lt;(0.73*(C21-20)),C23&lt;4),C21&lt;30)</f>
        <v>1</v>
      </c>
      <c r="R38" s="49" t="b">
        <f>AND(M35="SI",Q38=TRUE)</f>
        <v>0</v>
      </c>
      <c r="S38" s="49" t="str">
        <f>IF(R38=TRUE,"Limo baja plasticidad","")</f>
        <v/>
      </c>
      <c r="T38" s="49" t="str">
        <f>IF(S38="Limo baja plasticidad"," ML","")</f>
        <v/>
      </c>
      <c r="U38" s="58" t="str">
        <f>IF(AND(D19&gt;=50,W47&gt;=30,(X32+X33+X34+X35+X36+X37+X38+X39+X40+X41+X42)&gt;(X43+X44+X45+X46+X47),OR(S35="Arcilla baja plasticidad",S36="Arcilla alta plasticidad",S37="Arcilla limosa",S40="Arcilla media plasticidad"))," gravosa","")</f>
        <v/>
      </c>
      <c r="V38" s="49"/>
      <c r="W38" s="207">
        <f t="shared" si="4"/>
        <v>60.3</v>
      </c>
      <c r="X38" s="211">
        <f t="shared" si="5"/>
        <v>4.5</v>
      </c>
    </row>
    <row r="39" spans="13:24" ht="12.75" customHeight="1">
      <c r="M39" s="151"/>
      <c r="N39" s="49"/>
      <c r="O39" s="49"/>
      <c r="P39" s="49"/>
      <c r="Q39" s="49" t="b">
        <f>AND(OR(C23&lt;(0.73*(C21-20)),C23&lt;4),C21&gt;=50)</f>
        <v>0</v>
      </c>
      <c r="R39" s="49" t="b">
        <f>AND(M35="SI",Q39=TRUE)</f>
        <v>0</v>
      </c>
      <c r="S39" s="49" t="str">
        <f>IF(R39=TRUE,"Limo alta plasticidad","")</f>
        <v/>
      </c>
      <c r="T39" s="49" t="str">
        <f>IF(S39="Limo alta plasticidad"," MH","")</f>
        <v/>
      </c>
      <c r="U39" s="58" t="str">
        <f>IF(AND(D19&gt;=50,W47&gt;=30,(X32+X33+X34+X35+X36+X37+X38+X39+X40+X41+X42)&lt;=(X43+X44+X45+X46+X47),OR(S38="Limo baja plasticidad",S39="Limo alta plasticidad",S41="Limo baja plasticidad"))," arenoso","")</f>
        <v/>
      </c>
      <c r="V39" s="49"/>
      <c r="W39" s="207">
        <f t="shared" si="4"/>
        <v>70</v>
      </c>
      <c r="X39" s="211">
        <f t="shared" si="5"/>
        <v>9.7000000000000028</v>
      </c>
    </row>
    <row r="40" spans="13:24">
      <c r="M40" s="151"/>
      <c r="N40" s="49"/>
      <c r="O40" s="49"/>
      <c r="P40" s="49"/>
      <c r="Q40" s="49" t="b">
        <f>AND(C23&gt;(0.73*(C21-20)),C23&gt;7,AND(C21&gt;=30,C21&lt;50))</f>
        <v>0</v>
      </c>
      <c r="R40" s="49" t="b">
        <f>AND(M35="SI",Q40=TRUE)</f>
        <v>0</v>
      </c>
      <c r="S40" s="49" t="str">
        <f>IF(R40=TRUE,"Arcilla media plasticidad","")</f>
        <v/>
      </c>
      <c r="T40" s="49" t="str">
        <f>IF(S40="Arcilla media plasticidad"," CL","")</f>
        <v/>
      </c>
      <c r="U40" s="58" t="str">
        <f>IF(AND(D19&gt;=50,W47&gt;=30,(X32+X33+X34+X35+X36+X37+X38+X39+X40+X41+X42)&gt;(X43+X44+X45+X46+X47),OR(S38="Limo baja plasticidad",S39="Limo alta plasticidad",S41="Limo baja plasticidad"))," gravoso","")</f>
        <v/>
      </c>
      <c r="V40" s="49"/>
      <c r="W40" s="207">
        <f t="shared" si="4"/>
        <v>72.8</v>
      </c>
      <c r="X40" s="211">
        <f t="shared" si="5"/>
        <v>2.8000000000000007</v>
      </c>
    </row>
    <row r="41" spans="13:24" ht="13.5" customHeight="1">
      <c r="M41" s="151"/>
      <c r="N41" s="49"/>
      <c r="O41" s="49"/>
      <c r="P41" s="49"/>
      <c r="Q41" s="49" t="b">
        <f>AND(OR(C23&lt;(0.73*(C21-20)),C23&lt;4),AND(C21&gt;30,C21&lt;50))</f>
        <v>0</v>
      </c>
      <c r="R41" s="49" t="b">
        <f>AND(M35="SI",Q41=TRUE)</f>
        <v>0</v>
      </c>
      <c r="S41" s="49" t="str">
        <f>IF(R41=TRUE,"Limo baja plasticidad","")</f>
        <v/>
      </c>
      <c r="T41" s="49" t="str">
        <f>IF(S41="Limo baja plasticidad"," ML","")</f>
        <v/>
      </c>
      <c r="U41" s="58"/>
      <c r="V41" s="49"/>
      <c r="W41" s="207">
        <f t="shared" si="4"/>
        <v>75.599999999999994</v>
      </c>
      <c r="X41" s="211">
        <f t="shared" si="5"/>
        <v>2.8000000000000007</v>
      </c>
    </row>
    <row r="42" spans="13:24" ht="12.75" customHeight="1">
      <c r="M42" s="90" t="str">
        <f>CONCATENATE(P5,P6,P7,P8,P34)</f>
        <v>Suelo de partículas gruesas.( Nomenclatura con símbolo doble).</v>
      </c>
      <c r="N42" s="91"/>
      <c r="O42" s="91"/>
      <c r="P42" s="148"/>
      <c r="Q42" s="91"/>
      <c r="R42" s="91"/>
      <c r="S42" s="91"/>
      <c r="T42" s="91"/>
      <c r="U42" s="148"/>
      <c r="V42" s="49"/>
      <c r="W42" s="207">
        <f t="shared" si="4"/>
        <v>78.400000000000006</v>
      </c>
      <c r="X42" s="211">
        <f t="shared" si="5"/>
        <v>2.7999999999999972</v>
      </c>
    </row>
    <row r="43" spans="13:24">
      <c r="M43" s="95" t="str">
        <f>CONCATENATE(P9,P21)</f>
        <v>Grava</v>
      </c>
      <c r="N43" s="55" t="str">
        <f>CONCATENATE(S10,S11,S12,S13,S14,S15,S16,S17,S18,S19,S20,S22,S23,S24,S25,S26,S27,S28,S29,S30,S31,S32,S35,S36,S37,S38,S39,S40,S41)</f>
        <v xml:space="preserve"> mal graduada con limo con arena</v>
      </c>
      <c r="O43" s="55" t="str">
        <f>CONCATENATE(U35,U36,U37,U38,U39,U40,U9)</f>
        <v/>
      </c>
      <c r="P43" s="149" t="str">
        <f>CONCATENATE(T10,T11,T12,T13,T14,T15,T16,T17,T18,T19,T22,T23,T24,T25,T26,T27,T28,T29,T30,T31,T35,T36,T37,T38,T39,T40,T41)</f>
        <v xml:space="preserve"> GP GM</v>
      </c>
      <c r="Q43" s="55" t="str">
        <f>CONCATENATE(M43,N43,O43,P43)</f>
        <v>Grava mal graduada con limo con arena GP GM</v>
      </c>
      <c r="R43" s="55"/>
      <c r="S43" s="55"/>
      <c r="T43" s="55"/>
      <c r="U43" s="149"/>
      <c r="V43" s="49"/>
      <c r="W43" s="207">
        <f t="shared" si="4"/>
        <v>81.599999999999994</v>
      </c>
      <c r="X43" s="211">
        <f t="shared" si="5"/>
        <v>3.2000000000000028</v>
      </c>
    </row>
    <row r="44" spans="13:24" ht="13.5" customHeight="1">
      <c r="W44" s="207">
        <f t="shared" si="4"/>
        <v>83.1</v>
      </c>
      <c r="X44" s="211">
        <f t="shared" si="5"/>
        <v>1.5</v>
      </c>
    </row>
    <row r="45" spans="13:24" ht="12.75" customHeight="1">
      <c r="W45" s="207">
        <f t="shared" si="4"/>
        <v>87.8</v>
      </c>
      <c r="X45" s="211">
        <f t="shared" si="5"/>
        <v>4.6999999999999993</v>
      </c>
    </row>
    <row r="46" spans="13:24" ht="12.75" customHeight="1">
      <c r="W46" s="207">
        <f t="shared" si="4"/>
        <v>91.9</v>
      </c>
      <c r="X46" s="211">
        <f t="shared" si="5"/>
        <v>4.0999999999999996</v>
      </c>
    </row>
    <row r="47" spans="13:24">
      <c r="W47" s="208">
        <f t="shared" si="4"/>
        <v>93.7</v>
      </c>
      <c r="X47" s="212">
        <f t="shared" si="5"/>
        <v>1.7999999999999998</v>
      </c>
    </row>
    <row r="48" spans="13:24" ht="13.5" customHeight="1"/>
    <row r="50" spans="2:4" ht="13.5" customHeight="1"/>
    <row r="51" spans="2:4">
      <c r="B51" s="121"/>
      <c r="C51" s="121"/>
      <c r="D51" s="9"/>
    </row>
    <row r="53" spans="2:4" ht="12.75" customHeight="1"/>
  </sheetData>
  <sheetProtection password="CC53" sheet="1" objects="1" scenarios="1"/>
  <mergeCells count="4">
    <mergeCell ref="F17:K17"/>
    <mergeCell ref="F18:K18"/>
    <mergeCell ref="F19:K19"/>
    <mergeCell ref="F21:K23"/>
  </mergeCells>
  <phoneticPr fontId="0" type="noConversion"/>
  <printOptions horizontalCentered="1"/>
  <pageMargins left="0.19685039370078741" right="0.19685039370078741" top="0.59055118110236227" bottom="0.59055118110236227" header="0.39370078740157483" footer="0.39370078740157483"/>
  <pageSetup paperSize="9" orientation="landscape" horizontalDpi="355" verticalDpi="464" r:id="rId1"/>
  <headerFooter alignWithMargins="0">
    <oddFooter>&amp;C&amp;8Jordi González Boada
j.boada@wanadoo.es
http://perso.wanadoo.es/j.boada&amp;R&amp;8&amp;D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2"/>
  <dimension ref="B1:T65"/>
  <sheetViews>
    <sheetView view="pageBreakPreview" topLeftCell="A4" zoomScale="60" zoomScaleNormal="100" workbookViewId="0"/>
  </sheetViews>
  <sheetFormatPr baseColWidth="10" defaultRowHeight="12.75"/>
  <cols>
    <col min="1" max="1" width="3" style="1" customWidth="1"/>
    <col min="2" max="2" width="21.7109375" style="1" customWidth="1"/>
    <col min="3" max="7" width="13.42578125" style="1" customWidth="1"/>
    <col min="8" max="8" width="3" style="75" customWidth="1"/>
    <col min="9" max="9" width="3" style="1" customWidth="1"/>
    <col min="10" max="10" width="21" style="1" bestFit="1" customWidth="1"/>
    <col min="11" max="17" width="6.5703125" style="1" customWidth="1"/>
    <col min="18" max="20" width="13.28515625" style="1" customWidth="1"/>
    <col min="21" max="16384" width="11.42578125" style="1"/>
  </cols>
  <sheetData>
    <row r="1" spans="2:20">
      <c r="B1" s="74"/>
    </row>
    <row r="2" spans="2:20" ht="13.5" thickBot="1"/>
    <row r="3" spans="2:20">
      <c r="B3" s="104" t="s">
        <v>172</v>
      </c>
      <c r="C3" s="253">
        <v>1</v>
      </c>
      <c r="D3" s="253">
        <v>2</v>
      </c>
      <c r="E3" s="253">
        <v>1</v>
      </c>
      <c r="F3" s="253">
        <v>1</v>
      </c>
      <c r="G3" s="254"/>
      <c r="H3" s="78"/>
    </row>
    <row r="4" spans="2:20">
      <c r="B4" s="102" t="s">
        <v>173</v>
      </c>
      <c r="C4" s="255">
        <v>0.75</v>
      </c>
      <c r="D4" s="255">
        <v>2.2000000000000002</v>
      </c>
      <c r="E4" s="255">
        <v>2.7</v>
      </c>
      <c r="F4" s="255">
        <v>4</v>
      </c>
      <c r="G4" s="256"/>
      <c r="H4" s="67"/>
      <c r="R4" s="79" t="s">
        <v>166</v>
      </c>
      <c r="S4" s="80"/>
      <c r="T4" s="81"/>
    </row>
    <row r="5" spans="2:20">
      <c r="B5" s="102" t="s">
        <v>174</v>
      </c>
      <c r="C5" s="255">
        <v>1.35</v>
      </c>
      <c r="D5" s="255">
        <v>2.4</v>
      </c>
      <c r="E5" s="255">
        <v>3</v>
      </c>
      <c r="F5" s="255">
        <v>4.2</v>
      </c>
      <c r="G5" s="256"/>
      <c r="H5" s="67"/>
      <c r="R5" s="59">
        <f>0.9*(S5-8)</f>
        <v>-7.2</v>
      </c>
      <c r="S5" s="7">
        <v>0</v>
      </c>
      <c r="T5" s="123"/>
    </row>
    <row r="6" spans="2:20" ht="13.5" thickBot="1">
      <c r="B6" s="103" t="s">
        <v>175</v>
      </c>
      <c r="C6" s="89">
        <f>IF(OR(C4="",C5=""),"",(C4+C5)/2)</f>
        <v>1.05</v>
      </c>
      <c r="D6" s="89">
        <f>IF(OR(D4="",D5=""),"",(D4+D5)/2)</f>
        <v>2.2999999999999998</v>
      </c>
      <c r="E6" s="89">
        <f>IF(OR(E4="",E5=""),"",(E4+E5)/2)</f>
        <v>2.85</v>
      </c>
      <c r="F6" s="89">
        <f>IF(OR(F4="",F5=""),"",(F4+F5)/2)</f>
        <v>4.0999999999999996</v>
      </c>
      <c r="G6" s="66" t="str">
        <f>IF(OR(G4="",G5=""),"",(G4+G5)/2)</f>
        <v/>
      </c>
      <c r="H6" s="67"/>
      <c r="R6" s="59">
        <f>0.9*(S6-8)</f>
        <v>82.8</v>
      </c>
      <c r="S6" s="7">
        <v>100</v>
      </c>
      <c r="T6" s="123"/>
    </row>
    <row r="7" spans="2:20" ht="13.5" thickBot="1">
      <c r="H7" s="67"/>
      <c r="R7" s="59"/>
      <c r="S7" s="7"/>
      <c r="T7" s="123"/>
    </row>
    <row r="8" spans="2:20" ht="12.75" customHeight="1">
      <c r="B8" s="26" t="s">
        <v>159</v>
      </c>
      <c r="C8" s="76" t="s">
        <v>160</v>
      </c>
      <c r="D8" s="76" t="s">
        <v>161</v>
      </c>
      <c r="E8" s="76" t="s">
        <v>162</v>
      </c>
      <c r="F8" s="76" t="s">
        <v>163</v>
      </c>
      <c r="G8" s="77" t="s">
        <v>164</v>
      </c>
      <c r="H8" s="67"/>
      <c r="R8" s="59">
        <v>20</v>
      </c>
      <c r="S8" s="122">
        <f>IF(0.73*(R8-20)&lt;0,0,0.73*(R8-20))</f>
        <v>0</v>
      </c>
      <c r="T8" s="123"/>
    </row>
    <row r="9" spans="2:20" ht="12.75" customHeight="1">
      <c r="B9" s="15" t="s">
        <v>165</v>
      </c>
      <c r="C9" s="16" t="s">
        <v>1</v>
      </c>
      <c r="D9" s="16" t="s">
        <v>1</v>
      </c>
      <c r="E9" s="16" t="s">
        <v>1</v>
      </c>
      <c r="F9" s="16" t="s">
        <v>1</v>
      </c>
      <c r="G9" s="18" t="s">
        <v>1</v>
      </c>
      <c r="H9" s="67"/>
      <c r="R9" s="59">
        <v>25.48</v>
      </c>
      <c r="S9" s="122">
        <f>IF(0.73*(R9-20)&lt;0,0,0.73*(R9-20))</f>
        <v>4.0004</v>
      </c>
      <c r="T9" s="54"/>
    </row>
    <row r="10" spans="2:20" ht="13.5" customHeight="1">
      <c r="B10" s="82">
        <v>100</v>
      </c>
      <c r="C10" s="255">
        <v>100</v>
      </c>
      <c r="D10" s="255">
        <v>100</v>
      </c>
      <c r="E10" s="255">
        <v>100</v>
      </c>
      <c r="F10" s="255">
        <v>100</v>
      </c>
      <c r="G10" s="256"/>
      <c r="H10" s="67"/>
      <c r="J10" s="44"/>
      <c r="K10" s="9"/>
      <c r="L10" s="9"/>
      <c r="M10" s="9"/>
      <c r="N10" s="9"/>
      <c r="O10" s="65"/>
      <c r="P10" s="9"/>
      <c r="R10" s="59">
        <v>100</v>
      </c>
      <c r="S10" s="122">
        <f>IF(0.73*(R10-20)&lt;0,0,0.73*(R10-20))</f>
        <v>58.4</v>
      </c>
      <c r="T10" s="54"/>
    </row>
    <row r="11" spans="2:20" ht="12.75" customHeight="1">
      <c r="B11" s="82">
        <v>80</v>
      </c>
      <c r="C11" s="255">
        <v>100</v>
      </c>
      <c r="D11" s="255">
        <v>100</v>
      </c>
      <c r="E11" s="255">
        <v>100</v>
      </c>
      <c r="F11" s="255">
        <v>100</v>
      </c>
      <c r="G11" s="256"/>
      <c r="H11" s="67"/>
      <c r="R11" s="59"/>
      <c r="S11" s="9"/>
      <c r="T11" s="54"/>
    </row>
    <row r="12" spans="2:20">
      <c r="B12" s="82">
        <v>63</v>
      </c>
      <c r="C12" s="255">
        <v>100</v>
      </c>
      <c r="D12" s="255">
        <v>100</v>
      </c>
      <c r="E12" s="255">
        <v>100</v>
      </c>
      <c r="F12" s="255">
        <v>100</v>
      </c>
      <c r="G12" s="256"/>
      <c r="H12" s="67"/>
      <c r="R12" s="59">
        <v>4</v>
      </c>
      <c r="S12" s="121">
        <v>10</v>
      </c>
      <c r="T12" s="124">
        <v>7</v>
      </c>
    </row>
    <row r="13" spans="2:20">
      <c r="B13" s="82">
        <v>50</v>
      </c>
      <c r="C13" s="255">
        <v>100</v>
      </c>
      <c r="D13" s="255">
        <v>100</v>
      </c>
      <c r="E13" s="255">
        <v>100</v>
      </c>
      <c r="F13" s="255">
        <v>100</v>
      </c>
      <c r="G13" s="256"/>
      <c r="H13" s="67"/>
      <c r="R13" s="59">
        <v>4</v>
      </c>
      <c r="S13" s="121">
        <v>25</v>
      </c>
      <c r="T13" s="124">
        <v>7</v>
      </c>
    </row>
    <row r="14" spans="2:20" ht="13.5" customHeight="1">
      <c r="B14" s="82">
        <v>40</v>
      </c>
      <c r="C14" s="255">
        <v>100</v>
      </c>
      <c r="D14" s="255">
        <v>100</v>
      </c>
      <c r="E14" s="255">
        <v>100</v>
      </c>
      <c r="F14" s="255">
        <v>100</v>
      </c>
      <c r="G14" s="256"/>
      <c r="H14" s="67"/>
      <c r="R14" s="59"/>
      <c r="S14" s="121">
        <v>30</v>
      </c>
      <c r="T14" s="124">
        <v>7</v>
      </c>
    </row>
    <row r="15" spans="2:20" ht="12.75" customHeight="1">
      <c r="B15" s="82">
        <v>25</v>
      </c>
      <c r="C15" s="255">
        <v>100</v>
      </c>
      <c r="D15" s="255">
        <v>100</v>
      </c>
      <c r="E15" s="255">
        <v>100</v>
      </c>
      <c r="F15" s="255">
        <v>100</v>
      </c>
      <c r="G15" s="256"/>
      <c r="H15" s="67"/>
      <c r="R15" s="59"/>
      <c r="S15" s="9"/>
      <c r="T15" s="123"/>
    </row>
    <row r="16" spans="2:20" ht="13.5" customHeight="1">
      <c r="B16" s="82">
        <v>20</v>
      </c>
      <c r="C16" s="255">
        <v>100</v>
      </c>
      <c r="D16" s="255">
        <v>100</v>
      </c>
      <c r="E16" s="255">
        <v>100</v>
      </c>
      <c r="F16" s="255">
        <v>100</v>
      </c>
      <c r="G16" s="256"/>
      <c r="H16" s="67"/>
      <c r="R16" s="59">
        <v>50</v>
      </c>
      <c r="S16" s="9">
        <v>0</v>
      </c>
      <c r="T16" s="123"/>
    </row>
    <row r="17" spans="2:20" ht="12.75" customHeight="1">
      <c r="B17" s="82">
        <v>12.5</v>
      </c>
      <c r="C17" s="255">
        <v>100</v>
      </c>
      <c r="D17" s="255">
        <v>100</v>
      </c>
      <c r="E17" s="255">
        <v>100</v>
      </c>
      <c r="F17" s="255">
        <v>100</v>
      </c>
      <c r="G17" s="256"/>
      <c r="H17" s="67"/>
      <c r="R17" s="59">
        <v>50</v>
      </c>
      <c r="S17" s="9">
        <v>60</v>
      </c>
      <c r="T17" s="123"/>
    </row>
    <row r="18" spans="2:20" ht="12.75" customHeight="1">
      <c r="B18" s="82">
        <v>10</v>
      </c>
      <c r="C18" s="255">
        <v>100</v>
      </c>
      <c r="D18" s="255">
        <v>100</v>
      </c>
      <c r="E18" s="255">
        <v>100</v>
      </c>
      <c r="F18" s="255">
        <v>100</v>
      </c>
      <c r="G18" s="256"/>
      <c r="H18" s="67"/>
      <c r="R18" s="59"/>
      <c r="S18" s="9"/>
      <c r="T18" s="123"/>
    </row>
    <row r="19" spans="2:20">
      <c r="B19" s="82">
        <v>6.3</v>
      </c>
      <c r="C19" s="255">
        <v>100</v>
      </c>
      <c r="D19" s="255">
        <v>100</v>
      </c>
      <c r="E19" s="255">
        <v>100</v>
      </c>
      <c r="F19" s="255">
        <v>100</v>
      </c>
      <c r="G19" s="256"/>
      <c r="H19" s="67"/>
      <c r="R19" s="59">
        <v>30</v>
      </c>
      <c r="S19" s="9">
        <v>8</v>
      </c>
      <c r="T19" s="123"/>
    </row>
    <row r="20" spans="2:20" ht="12.75" customHeight="1">
      <c r="B20" s="82">
        <v>5</v>
      </c>
      <c r="C20" s="255">
        <v>99.8</v>
      </c>
      <c r="D20" s="255">
        <v>99</v>
      </c>
      <c r="E20" s="255">
        <v>99.7</v>
      </c>
      <c r="F20" s="255">
        <v>99.3</v>
      </c>
      <c r="G20" s="256"/>
      <c r="H20" s="67"/>
      <c r="R20" s="60">
        <v>30</v>
      </c>
      <c r="S20" s="10">
        <v>20</v>
      </c>
      <c r="T20" s="125"/>
    </row>
    <row r="21" spans="2:20">
      <c r="B21" s="82">
        <v>2</v>
      </c>
      <c r="C21" s="255">
        <v>97.8</v>
      </c>
      <c r="D21" s="255">
        <v>92.8</v>
      </c>
      <c r="E21" s="255">
        <v>98.3</v>
      </c>
      <c r="F21" s="255">
        <v>96.3</v>
      </c>
      <c r="G21" s="256"/>
      <c r="H21" s="67"/>
      <c r="R21" s="9"/>
      <c r="S21" s="9"/>
      <c r="T21" s="52"/>
    </row>
    <row r="22" spans="2:20" ht="13.5" customHeight="1">
      <c r="B22" s="82">
        <v>1.25</v>
      </c>
      <c r="C22" s="255">
        <v>91.3</v>
      </c>
      <c r="D22" s="255">
        <v>81</v>
      </c>
      <c r="E22" s="255">
        <v>95</v>
      </c>
      <c r="F22" s="255">
        <v>86.7</v>
      </c>
      <c r="G22" s="256"/>
      <c r="H22" s="86"/>
      <c r="R22" s="83" t="s">
        <v>168</v>
      </c>
      <c r="S22" s="8"/>
      <c r="T22" s="53"/>
    </row>
    <row r="23" spans="2:20" ht="12.75" customHeight="1">
      <c r="B23" s="82">
        <v>0.4</v>
      </c>
      <c r="C23" s="255">
        <v>75</v>
      </c>
      <c r="D23" s="255">
        <v>62.7</v>
      </c>
      <c r="E23" s="255">
        <v>78.900000000000006</v>
      </c>
      <c r="F23" s="255">
        <v>66.5</v>
      </c>
      <c r="G23" s="256"/>
      <c r="H23" s="86"/>
      <c r="R23" s="59" t="s">
        <v>169</v>
      </c>
      <c r="S23" s="9"/>
      <c r="T23" s="54"/>
    </row>
    <row r="24" spans="2:20">
      <c r="B24" s="84">
        <v>0.16</v>
      </c>
      <c r="C24" s="255">
        <v>69.2</v>
      </c>
      <c r="D24" s="255">
        <v>57.4</v>
      </c>
      <c r="E24" s="255">
        <v>71.099999999999994</v>
      </c>
      <c r="F24" s="255">
        <v>59.8</v>
      </c>
      <c r="G24" s="256"/>
      <c r="H24" s="86"/>
      <c r="R24" s="90">
        <v>0</v>
      </c>
      <c r="S24" s="91">
        <v>38.5</v>
      </c>
      <c r="T24" s="53"/>
    </row>
    <row r="25" spans="2:20" ht="13.5" thickBot="1">
      <c r="B25" s="85">
        <v>0.08</v>
      </c>
      <c r="C25" s="257">
        <v>64.400000000000006</v>
      </c>
      <c r="D25" s="257">
        <v>53.3</v>
      </c>
      <c r="E25" s="257">
        <v>62.2</v>
      </c>
      <c r="F25" s="257">
        <v>54.9</v>
      </c>
      <c r="G25" s="258"/>
      <c r="H25" s="86"/>
      <c r="R25" s="95">
        <f>2.6/(1+0.026*R24)</f>
        <v>2.6</v>
      </c>
      <c r="S25" s="55">
        <f>2.6/(1+0.026*S24)</f>
        <v>1.2993503248375813</v>
      </c>
      <c r="T25" s="56"/>
    </row>
    <row r="26" spans="2:20" ht="12.75" customHeight="1" thickBot="1">
      <c r="B26" s="9"/>
      <c r="C26" s="9"/>
      <c r="D26" s="9"/>
      <c r="E26" s="9"/>
      <c r="F26" s="9"/>
      <c r="G26" s="9"/>
      <c r="H26" s="86"/>
    </row>
    <row r="27" spans="2:20" ht="12.75" customHeight="1">
      <c r="B27" s="26" t="s">
        <v>148</v>
      </c>
      <c r="C27" s="259">
        <v>41</v>
      </c>
      <c r="D27" s="259">
        <v>41</v>
      </c>
      <c r="E27" s="259">
        <v>37</v>
      </c>
      <c r="F27" s="259">
        <v>39</v>
      </c>
      <c r="G27" s="260"/>
      <c r="H27" s="86"/>
    </row>
    <row r="28" spans="2:20">
      <c r="B28" s="15" t="s">
        <v>149</v>
      </c>
      <c r="C28" s="255">
        <v>17.600000000000001</v>
      </c>
      <c r="D28" s="255">
        <v>18.600000000000001</v>
      </c>
      <c r="E28" s="255">
        <v>17.100000000000001</v>
      </c>
      <c r="F28" s="255">
        <v>17</v>
      </c>
      <c r="G28" s="256"/>
      <c r="H28" s="86"/>
    </row>
    <row r="29" spans="2:20">
      <c r="B29" s="15" t="s">
        <v>130</v>
      </c>
      <c r="C29" s="87">
        <f>IF(C27="","",C27-C28)</f>
        <v>23.4</v>
      </c>
      <c r="D29" s="87">
        <f>IF(D27="","",D27-D28)</f>
        <v>22.4</v>
      </c>
      <c r="E29" s="87">
        <f>IF(E27="","",E27-E28)</f>
        <v>19.899999999999999</v>
      </c>
      <c r="F29" s="87">
        <f>IF(F27="","",F27-F28)</f>
        <v>22</v>
      </c>
      <c r="G29" s="88" t="str">
        <f>IF(G27="","",G27-G28)</f>
        <v/>
      </c>
      <c r="H29" s="67"/>
    </row>
    <row r="30" spans="2:20" ht="13.5" customHeight="1">
      <c r="B30" s="15" t="s">
        <v>167</v>
      </c>
      <c r="C30" s="255">
        <v>18.32</v>
      </c>
      <c r="D30" s="255">
        <v>17.66</v>
      </c>
      <c r="E30" s="255"/>
      <c r="F30" s="255">
        <v>19.36</v>
      </c>
      <c r="G30" s="256">
        <v>20.02</v>
      </c>
      <c r="H30" s="78"/>
    </row>
    <row r="31" spans="2:20" ht="14.25">
      <c r="B31" s="15" t="s">
        <v>171</v>
      </c>
      <c r="C31" s="255">
        <v>1.81</v>
      </c>
      <c r="D31" s="255">
        <v>1.84</v>
      </c>
      <c r="E31" s="255"/>
      <c r="F31" s="255">
        <v>1.81</v>
      </c>
      <c r="G31" s="256">
        <v>1.79</v>
      </c>
      <c r="H31" s="86"/>
    </row>
    <row r="32" spans="2:20">
      <c r="B32" s="15" t="s">
        <v>156</v>
      </c>
      <c r="C32" s="87">
        <f>IF(OR(C27="",C30=""),"",C30/C27)</f>
        <v>0.44682926829268294</v>
      </c>
      <c r="D32" s="87">
        <f>IF(OR(D27="",D30=""),"",D30/D27)</f>
        <v>0.43073170731707316</v>
      </c>
      <c r="E32" s="87" t="str">
        <f>IF(OR(E27="",E30=""),"",E30/E27)</f>
        <v/>
      </c>
      <c r="F32" s="87">
        <f>IF(OR(F27="",F30=""),"",F30/F27)</f>
        <v>0.49641025641025638</v>
      </c>
      <c r="G32" s="88" t="str">
        <f>IF(OR(G27="",G30=""),"",G30/G27)</f>
        <v/>
      </c>
      <c r="H32" s="67"/>
    </row>
    <row r="33" spans="2:12" ht="13.5" thickBot="1">
      <c r="B33" s="19" t="s">
        <v>158</v>
      </c>
      <c r="C33" s="89">
        <f>IF(OR(C28="",C30=""),"",C30/C28)</f>
        <v>1.0409090909090908</v>
      </c>
      <c r="D33" s="89">
        <f>IF(OR(D28="",D30=""),"",D30/D28)</f>
        <v>0.94946236559139774</v>
      </c>
      <c r="E33" s="89" t="str">
        <f>IF(OR(E28="",E30=""),"",E30/E28)</f>
        <v/>
      </c>
      <c r="F33" s="89">
        <f>IF(OR(F28="",F30=""),"",F30/F28)</f>
        <v>1.1388235294117646</v>
      </c>
      <c r="G33" s="66" t="str">
        <f>IF(OR(G28="",G30=""),"",G30/G28)</f>
        <v/>
      </c>
      <c r="H33" s="67"/>
    </row>
    <row r="34" spans="2:12" ht="12.75" customHeight="1" thickBot="1">
      <c r="B34" s="9"/>
      <c r="C34" s="9"/>
      <c r="D34" s="9"/>
      <c r="E34" s="9"/>
      <c r="F34" s="9"/>
      <c r="G34" s="9"/>
    </row>
    <row r="35" spans="2:12">
      <c r="B35" s="92" t="s">
        <v>157</v>
      </c>
      <c r="C35" s="93" t="str">
        <f>IF(OR(C31="",C36=""),"",IF(C31&lt;C36,"Suelo colapsable","No colapsable"))</f>
        <v>No colapsable</v>
      </c>
      <c r="D35" s="93" t="str">
        <f>IF(OR(D31="",D36=""),"",IF(D31&lt;D36,"Suelo colapsable","No colapsable"))</f>
        <v>No colapsable</v>
      </c>
      <c r="E35" s="93" t="str">
        <f>IF(OR(E31="",E36=""),"",IF(E31&lt;E36,"Suelo colapsable","No colapsable"))</f>
        <v/>
      </c>
      <c r="F35" s="93" t="str">
        <f>IF(OR(F31="",F36=""),"",IF(F31&lt;F36,"Suelo colapsable","No colapsable"))</f>
        <v>No colapsable</v>
      </c>
      <c r="G35" s="94" t="str">
        <f>IF(OR(G31="",G36=""),"",IF(G31&lt;G36,"Suelo colapsable","No colapsable"))</f>
        <v/>
      </c>
    </row>
    <row r="36" spans="2:12" ht="13.5" thickBot="1">
      <c r="B36" s="96"/>
      <c r="C36" s="97">
        <f>IF(C27="","",2.6/(1+0.026*C27))</f>
        <v>1.2584704743465636</v>
      </c>
      <c r="D36" s="97">
        <f>IF(D27="","",2.6/(1+0.026*D27))</f>
        <v>1.2584704743465636</v>
      </c>
      <c r="E36" s="97">
        <f>IF(E27="","",2.6/(1+0.026*E27))</f>
        <v>1.3251783893985729</v>
      </c>
      <c r="F36" s="97">
        <f>IF(F27="","",2.6/(1+0.026*F27))</f>
        <v>1.2909632571996026</v>
      </c>
      <c r="G36" s="98" t="str">
        <f>IF(G27="","",2.6/(1+0.026*G27))</f>
        <v/>
      </c>
    </row>
    <row r="37" spans="2:12" ht="13.5" customHeight="1" thickBot="1">
      <c r="B37" s="9"/>
      <c r="C37" s="9"/>
      <c r="D37" s="9"/>
      <c r="E37" s="9"/>
      <c r="F37" s="9"/>
      <c r="G37" s="9"/>
    </row>
    <row r="38" spans="2:12" ht="12.75" customHeight="1" thickBot="1">
      <c r="B38" s="99" t="s">
        <v>155</v>
      </c>
      <c r="C38" s="100" t="s">
        <v>150</v>
      </c>
      <c r="D38" s="100" t="s">
        <v>151</v>
      </c>
      <c r="E38" s="100" t="s">
        <v>152</v>
      </c>
      <c r="F38" s="100" t="s">
        <v>153</v>
      </c>
      <c r="G38" s="101" t="s">
        <v>154</v>
      </c>
      <c r="L38" s="41" t="s">
        <v>170</v>
      </c>
    </row>
    <row r="39" spans="2:12" ht="12.75" customHeight="1"/>
    <row r="40" spans="2:12" ht="13.5" thickBot="1"/>
    <row r="41" spans="2:12" ht="13.5" customHeight="1">
      <c r="B41" s="13" t="s">
        <v>115</v>
      </c>
      <c r="C41" s="126"/>
      <c r="D41" s="127"/>
      <c r="E41" s="128"/>
      <c r="F41" s="128"/>
      <c r="G41" s="129"/>
    </row>
    <row r="42" spans="2:12">
      <c r="B42" s="15" t="s">
        <v>122</v>
      </c>
      <c r="C42" s="132">
        <f>IF(OR(C27="",C30="",C29=""),"",(C27-C30)/C29)</f>
        <v>0.96923076923076923</v>
      </c>
      <c r="D42" s="133">
        <f>IF(OR(D27="",D30="",D29=""),"",(D27-D30)/D29)</f>
        <v>1.0419642857142857</v>
      </c>
      <c r="E42" s="134" t="str">
        <f>IF(OR(E27="",E30="",E29=""),"",(E27-E30)/E29)</f>
        <v/>
      </c>
      <c r="F42" s="134">
        <f>IF(OR(F27="",F30="",F29=""),"",(F27-F30)/F29)</f>
        <v>0.8927272727272727</v>
      </c>
      <c r="G42" s="135" t="str">
        <f>IF(OR(G27="",G30="",G29=""),"",(G27-G30)/G29)</f>
        <v/>
      </c>
    </row>
    <row r="43" spans="2:12" ht="13.5" customHeight="1">
      <c r="B43" s="130" t="s">
        <v>116</v>
      </c>
      <c r="C43" s="136"/>
      <c r="D43" s="137"/>
      <c r="E43" s="138"/>
      <c r="F43" s="138"/>
      <c r="G43" s="139"/>
    </row>
    <row r="44" spans="2:12" ht="14.25">
      <c r="B44" s="131" t="s">
        <v>126</v>
      </c>
      <c r="C44" s="140">
        <f>IF(OR(C30="",C28="",C29=""),"",(C30-C28)/C29)</f>
        <v>3.0769230769230722E-2</v>
      </c>
      <c r="D44" s="141">
        <f>IF(OR(D30="",D28="",D29=""),"",(D30-D28)/D29)</f>
        <v>-4.1964285714285773E-2</v>
      </c>
      <c r="E44" s="142" t="str">
        <f>IF(OR(E30="",E28="",E29=""),"",(E30-E28)/E29)</f>
        <v/>
      </c>
      <c r="F44" s="142">
        <f>IF(OR(F30="",F28="",F29=""),"",(F30-F28)/F29)</f>
        <v>0.10727272727272724</v>
      </c>
      <c r="G44" s="143" t="str">
        <f>IF(OR(G30="",G28="",G29=""),"",(G30-G28)/G29)</f>
        <v/>
      </c>
    </row>
    <row r="45" spans="2:12">
      <c r="B45" s="102" t="s">
        <v>117</v>
      </c>
      <c r="C45" s="132"/>
      <c r="D45" s="133"/>
      <c r="E45" s="134"/>
      <c r="F45" s="134"/>
      <c r="G45" s="135"/>
    </row>
    <row r="46" spans="2:12" ht="12.75" customHeight="1">
      <c r="B46" s="131" t="s">
        <v>123</v>
      </c>
      <c r="C46" s="140">
        <f>IF(C27="","",0.009*(C27-10))</f>
        <v>0.27899999999999997</v>
      </c>
      <c r="D46" s="141">
        <f>IF(D27="","",0.009*(D27-10))</f>
        <v>0.27899999999999997</v>
      </c>
      <c r="E46" s="142">
        <f>IF(E27="","",0.009*(E27-10))</f>
        <v>0.24299999999999999</v>
      </c>
      <c r="F46" s="142">
        <f>IF(F27="","",0.009*(F27-10))</f>
        <v>0.26099999999999995</v>
      </c>
      <c r="G46" s="143" t="str">
        <f>IF(G27="","",0.009*(G27-10))</f>
        <v/>
      </c>
    </row>
    <row r="47" spans="2:12">
      <c r="B47" s="102" t="s">
        <v>128</v>
      </c>
      <c r="C47" s="132"/>
      <c r="D47" s="133"/>
      <c r="E47" s="134"/>
      <c r="F47" s="134"/>
      <c r="G47" s="135"/>
    </row>
    <row r="48" spans="2:12" ht="13.5" thickBot="1">
      <c r="B48" s="19" t="s">
        <v>129</v>
      </c>
      <c r="C48" s="144">
        <f>IF(C29="","",C29/2.13)</f>
        <v>10.985915492957746</v>
      </c>
      <c r="D48" s="145">
        <f>IF(D29="","",D29/2.13)</f>
        <v>10.516431924882628</v>
      </c>
      <c r="E48" s="146">
        <f>IF(E29="","",E29/2.13)</f>
        <v>9.342723004694836</v>
      </c>
      <c r="F48" s="146">
        <f>IF(F29="","",F29/2.13)</f>
        <v>10.328638497652582</v>
      </c>
      <c r="G48" s="147" t="str">
        <f>IF(G29="","",G29/2.13)</f>
        <v/>
      </c>
    </row>
    <row r="62" spans="2:3">
      <c r="B62" s="74"/>
    </row>
    <row r="63" spans="2:3">
      <c r="C63" s="42"/>
    </row>
    <row r="64" spans="2:3">
      <c r="C64" s="42"/>
    </row>
    <row r="65" spans="3:3">
      <c r="C65" s="42"/>
    </row>
  </sheetData>
  <sheetProtection password="CC53" sheet="1" objects="1" scenarios="1"/>
  <phoneticPr fontId="0" type="noConversion"/>
  <printOptions horizontalCentered="1"/>
  <pageMargins left="0.19685039370078741" right="0.19685039370078741" top="0.59055118110236227" bottom="0.59055118110236227" header="0.39370078740157483" footer="0.39370078740157483"/>
  <pageSetup paperSize="9" scale="61" orientation="portrait" horizontalDpi="355" verticalDpi="464" r:id="rId1"/>
  <headerFooter alignWithMargins="0">
    <oddFooter>&amp;C&amp;8Jordi González Boada
j.boada@wanadoo.es
http://perso.wanadoo.es/j.boada&amp;R&amp;8&amp;D</oddFooter>
  </headerFooter>
  <colBreaks count="1" manualBreakCount="1">
    <brk id="8" max="56" man="1"/>
  </colBreaks>
  <drawing r:id="rId2"/>
  <legacyDrawing r:id="rId3"/>
  <oleObjects>
    <mc:AlternateContent xmlns:mc="http://schemas.openxmlformats.org/markup-compatibility/2006">
      <mc:Choice Requires="x14">
        <oleObject progId="Equation.3" shapeId="39979" r:id="rId4">
          <objectPr defaultSize="0" r:id="rId5">
            <anchor moveWithCells="1" sizeWithCells="1">
              <from>
                <xdr:col>1</xdr:col>
                <xdr:colOff>895350</xdr:colOff>
                <xdr:row>49</xdr:row>
                <xdr:rowOff>9525</xdr:rowOff>
              </from>
              <to>
                <xdr:col>5</xdr:col>
                <xdr:colOff>438150</xdr:colOff>
                <xdr:row>91</xdr:row>
                <xdr:rowOff>66675</xdr:rowOff>
              </to>
            </anchor>
          </objectPr>
        </oleObject>
      </mc:Choice>
      <mc:Fallback>
        <oleObject progId="Equation.3" shapeId="3997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4"/>
  <sheetViews>
    <sheetView workbookViewId="0">
      <selection activeCell="I10" sqref="I10"/>
    </sheetView>
  </sheetViews>
  <sheetFormatPr baseColWidth="10" defaultRowHeight="12.75"/>
  <cols>
    <col min="1" max="1" width="5.85546875" style="261" customWidth="1"/>
    <col min="2" max="2" width="81.140625" style="261" customWidth="1"/>
    <col min="3" max="16384" width="11.42578125" style="261"/>
  </cols>
  <sheetData>
    <row r="1" spans="2:15">
      <c r="B1" s="285" t="s">
        <v>266</v>
      </c>
      <c r="C1" s="262"/>
      <c r="D1" s="262"/>
      <c r="E1" s="262"/>
      <c r="F1" s="262"/>
      <c r="G1" s="262"/>
      <c r="H1" s="262"/>
      <c r="I1" s="262"/>
      <c r="J1" s="262"/>
      <c r="K1" s="262"/>
      <c r="L1" s="379"/>
      <c r="M1" s="380"/>
      <c r="N1" s="380"/>
      <c r="O1" s="263"/>
    </row>
    <row r="3" spans="2:15">
      <c r="B3" s="264" t="s">
        <v>208</v>
      </c>
      <c r="H3" s="261">
        <v>1</v>
      </c>
      <c r="I3" s="261" t="s">
        <v>216</v>
      </c>
    </row>
    <row r="4" spans="2:15">
      <c r="B4" s="264" t="s">
        <v>217</v>
      </c>
      <c r="H4" s="261">
        <v>2</v>
      </c>
      <c r="I4" s="261" t="s">
        <v>218</v>
      </c>
    </row>
    <row r="5" spans="2:15">
      <c r="B5" s="265" t="s">
        <v>219</v>
      </c>
      <c r="H5" s="261">
        <v>3</v>
      </c>
      <c r="I5" s="261" t="s">
        <v>220</v>
      </c>
    </row>
    <row r="6" spans="2:15" ht="15.75">
      <c r="B6" s="266"/>
      <c r="H6" s="261">
        <v>4</v>
      </c>
      <c r="I6" s="261" t="s">
        <v>221</v>
      </c>
    </row>
    <row r="7" spans="2:15" ht="23.25">
      <c r="B7" s="267"/>
      <c r="H7" s="261">
        <v>5</v>
      </c>
      <c r="I7" s="261" t="s">
        <v>222</v>
      </c>
    </row>
    <row r="8" spans="2:15" ht="23.25">
      <c r="B8" s="267" t="s">
        <v>223</v>
      </c>
      <c r="H8" s="261">
        <v>6</v>
      </c>
      <c r="I8" s="261" t="s">
        <v>224</v>
      </c>
      <c r="J8" s="267"/>
    </row>
    <row r="9" spans="2:15" ht="15">
      <c r="B9" s="268"/>
      <c r="H9" s="261">
        <v>7</v>
      </c>
      <c r="I9" s="261" t="s">
        <v>225</v>
      </c>
    </row>
    <row r="10" spans="2:15">
      <c r="B10" s="269"/>
      <c r="H10" s="261">
        <v>8</v>
      </c>
      <c r="I10" s="261" t="s">
        <v>226</v>
      </c>
    </row>
    <row r="11" spans="2:15" ht="18.75">
      <c r="B11" s="270" t="s">
        <v>227</v>
      </c>
      <c r="H11" s="261">
        <v>9</v>
      </c>
      <c r="I11" s="261" t="s">
        <v>228</v>
      </c>
    </row>
    <row r="12" spans="2:15" ht="16.5" customHeight="1">
      <c r="B12" s="271"/>
      <c r="H12" s="261">
        <v>10</v>
      </c>
      <c r="I12" s="261" t="s">
        <v>229</v>
      </c>
    </row>
    <row r="13" spans="2:15" ht="15.75">
      <c r="B13" s="272" t="s">
        <v>230</v>
      </c>
      <c r="H13" s="261">
        <v>11</v>
      </c>
      <c r="I13" s="261" t="s">
        <v>231</v>
      </c>
    </row>
    <row r="14" spans="2:15" ht="15.75">
      <c r="B14" s="272" t="s">
        <v>232</v>
      </c>
      <c r="H14" s="261">
        <v>12</v>
      </c>
      <c r="I14" s="261" t="s">
        <v>233</v>
      </c>
    </row>
    <row r="15" spans="2:15" ht="15.75">
      <c r="B15" s="272" t="s">
        <v>234</v>
      </c>
    </row>
    <row r="16" spans="2:15" ht="15.75">
      <c r="B16" s="273" t="s">
        <v>235</v>
      </c>
    </row>
    <row r="17" spans="2:2" ht="15.75">
      <c r="B17" s="272"/>
    </row>
    <row r="18" spans="2:2" ht="15.75">
      <c r="B18" s="272"/>
    </row>
    <row r="19" spans="2:2" ht="18.75">
      <c r="B19" s="270" t="s">
        <v>236</v>
      </c>
    </row>
    <row r="20" spans="2:2">
      <c r="B20" s="269"/>
    </row>
    <row r="21" spans="2:2" ht="15.75">
      <c r="B21" s="272" t="s">
        <v>246</v>
      </c>
    </row>
    <row r="22" spans="2:2" ht="15.75">
      <c r="B22" s="272" t="s">
        <v>237</v>
      </c>
    </row>
    <row r="23" spans="2:2" ht="15.75">
      <c r="B23" s="272"/>
    </row>
    <row r="24" spans="2:2" ht="15.75">
      <c r="B24" s="272"/>
    </row>
    <row r="25" spans="2:2" ht="18.75">
      <c r="B25" s="270" t="s">
        <v>238</v>
      </c>
    </row>
    <row r="26" spans="2:2">
      <c r="B26" s="269"/>
    </row>
    <row r="27" spans="2:2" ht="31.5">
      <c r="B27" s="274" t="s">
        <v>267</v>
      </c>
    </row>
    <row r="28" spans="2:2" ht="48.75" customHeight="1">
      <c r="B28" s="274" t="s">
        <v>265</v>
      </c>
    </row>
    <row r="29" spans="2:2" ht="50.25" customHeight="1">
      <c r="B29" s="274" t="s">
        <v>247</v>
      </c>
    </row>
    <row r="30" spans="2:2" ht="33.75" customHeight="1">
      <c r="B30" s="274" t="s">
        <v>248</v>
      </c>
    </row>
    <row r="31" spans="2:2" ht="51.75" customHeight="1">
      <c r="B31" s="274" t="s">
        <v>249</v>
      </c>
    </row>
    <row r="32" spans="2:2" ht="50.25" customHeight="1">
      <c r="B32" s="275" t="s">
        <v>250</v>
      </c>
    </row>
    <row r="33" spans="2:2" ht="19.5" customHeight="1">
      <c r="B33" s="275" t="s">
        <v>251</v>
      </c>
    </row>
    <row r="34" spans="2:2" ht="15.75">
      <c r="B34" s="272"/>
    </row>
    <row r="35" spans="2:2" ht="15.75">
      <c r="B35" s="272"/>
    </row>
    <row r="36" spans="2:2" ht="18.75">
      <c r="B36" s="270" t="s">
        <v>239</v>
      </c>
    </row>
    <row r="37" spans="2:2" ht="15.75">
      <c r="B37" s="272"/>
    </row>
    <row r="38" spans="2:2" ht="31.5">
      <c r="B38" s="276" t="s">
        <v>252</v>
      </c>
    </row>
    <row r="39" spans="2:2" ht="31.5">
      <c r="B39" s="276" t="s">
        <v>253</v>
      </c>
    </row>
    <row r="40" spans="2:2" ht="31.5">
      <c r="B40" s="276" t="s">
        <v>254</v>
      </c>
    </row>
    <row r="41" spans="2:2" ht="31.5">
      <c r="B41" s="276" t="s">
        <v>255</v>
      </c>
    </row>
    <row r="42" spans="2:2" ht="15.75">
      <c r="B42" s="276" t="s">
        <v>256</v>
      </c>
    </row>
    <row r="43" spans="2:2" ht="15.75">
      <c r="B43" s="276" t="s">
        <v>257</v>
      </c>
    </row>
    <row r="44" spans="2:2" ht="15.75">
      <c r="B44" s="276" t="s">
        <v>258</v>
      </c>
    </row>
    <row r="45" spans="2:2" ht="15.75">
      <c r="B45" s="272"/>
    </row>
    <row r="46" spans="2:2" ht="15.75">
      <c r="B46" s="272"/>
    </row>
    <row r="47" spans="2:2" ht="18.75">
      <c r="B47" s="270" t="s">
        <v>240</v>
      </c>
    </row>
    <row r="48" spans="2:2">
      <c r="B48" s="269"/>
    </row>
    <row r="49" spans="2:2" ht="15.75">
      <c r="B49" s="277" t="s">
        <v>241</v>
      </c>
    </row>
    <row r="50" spans="2:2" ht="15.75">
      <c r="B50" s="277"/>
    </row>
    <row r="51" spans="2:2" ht="15.75">
      <c r="B51" s="276" t="s">
        <v>259</v>
      </c>
    </row>
    <row r="52" spans="2:2" ht="15.75">
      <c r="B52" s="276" t="s">
        <v>260</v>
      </c>
    </row>
    <row r="53" spans="2:2" ht="15.75">
      <c r="B53" s="276" t="s">
        <v>261</v>
      </c>
    </row>
    <row r="54" spans="2:2" ht="15.75">
      <c r="B54" s="276" t="s">
        <v>262</v>
      </c>
    </row>
    <row r="55" spans="2:2">
      <c r="B55" s="278" t="s">
        <v>242</v>
      </c>
    </row>
    <row r="56" spans="2:2" ht="15.75">
      <c r="B56" s="279"/>
    </row>
    <row r="57" spans="2:2" ht="15.75">
      <c r="B57" s="280" t="s">
        <v>243</v>
      </c>
    </row>
    <row r="58" spans="2:2" ht="15.75">
      <c r="B58" s="280"/>
    </row>
    <row r="59" spans="2:2" ht="15.75">
      <c r="B59" s="276" t="s">
        <v>263</v>
      </c>
    </row>
    <row r="60" spans="2:2" ht="15.75">
      <c r="B60" s="281" t="s">
        <v>264</v>
      </c>
    </row>
    <row r="61" spans="2:2">
      <c r="B61" s="282"/>
    </row>
    <row r="62" spans="2:2">
      <c r="B62" s="282"/>
    </row>
    <row r="63" spans="2:2">
      <c r="B63" s="283" t="s">
        <v>244</v>
      </c>
    </row>
    <row r="64" spans="2:2">
      <c r="B64" s="284" t="s">
        <v>245</v>
      </c>
    </row>
  </sheetData>
  <sheetProtection password="CC53" sheet="1" objects="1" scenarios="1"/>
  <mergeCells count="1">
    <mergeCell ref="L1:N1"/>
  </mergeCells>
  <phoneticPr fontId="0" type="noConversion"/>
  <hyperlinks>
    <hyperlink ref="B5" r:id="rId1" display="mailto:geologo@jordigonzalezboada.com"/>
    <hyperlink ref="B55" r:id="rId2" display="http://www.jordigonzalezboada.com/"/>
    <hyperlink ref="B64" r:id="rId3" display="mailto:geologo@jordigonzalezboada.com"/>
  </hyperlinks>
  <pageMargins left="0.67" right="0.75" top="0.94" bottom="1" header="0.43307086614173229" footer="0"/>
  <pageSetup paperSize="9" orientation="portrait" horizontalDpi="360" verticalDpi="360" r:id="rId4"/>
  <headerFooter alignWithMargins="0"/>
  <rowBreaks count="1" manualBreakCount="1">
    <brk id="35" max="1" man="1"/>
  </rowBreaks>
  <colBreaks count="1" manualBreakCount="1">
    <brk id="3" min="1" max="59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Introducción</vt:lpstr>
      <vt:lpstr>Clasificación suelos</vt:lpstr>
      <vt:lpstr>Clasificación</vt:lpstr>
      <vt:lpstr>Clasificación (2)</vt:lpstr>
      <vt:lpstr>Suelos</vt:lpstr>
      <vt:lpstr>curriculo</vt:lpstr>
      <vt:lpstr>Clasificación!Área_de_impresión</vt:lpstr>
      <vt:lpstr>'Clasificación (2)'!Área_de_impresión</vt:lpstr>
      <vt:lpstr>'Clasificación suelos'!Área_de_impresión</vt:lpstr>
      <vt:lpstr>curriculo!Área_de_impresión</vt:lpstr>
      <vt:lpstr>Introducción!Área_de_impresión</vt:lpstr>
      <vt:lpstr>Suelos!Área_de_impresión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Clasificaciones granulométricas</dc:title>
  <dc:subject>Geotecnia</dc:subject>
  <dc:creator>Jordi González Boada</dc:creator>
  <dc:description>geologo@jordigonzalezboada.com_x000d_
http://www.jordigonzalezboada.com</dc:description>
  <cp:lastModifiedBy>USER</cp:lastModifiedBy>
  <cp:lastPrinted>2007-07-05T01:15:56Z</cp:lastPrinted>
  <dcterms:created xsi:type="dcterms:W3CDTF">2003-04-22T08:46:39Z</dcterms:created>
  <dcterms:modified xsi:type="dcterms:W3CDTF">2017-08-31T00:22:59Z</dcterms:modified>
</cp:coreProperties>
</file>